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ate1904="1" updateLinks="never" codeName="DieseArbeitsmappe" autoCompressPictures="0"/>
  <mc:AlternateContent xmlns:mc="http://schemas.openxmlformats.org/markup-compatibility/2006">
    <mc:Choice Requires="x15">
      <x15ac:absPath xmlns:x15ac="http://schemas.microsoft.com/office/spreadsheetml/2010/11/ac" url="C:\parzung\2 Aktiv\01 Produkte\1 Excel Lösungen\1 Applikationen\IK Individuell für Kunden\UZH\Arbeitszeiterfassung 2020\"/>
    </mc:Choice>
  </mc:AlternateContent>
  <xr:revisionPtr revIDLastSave="0" documentId="13_ncr:1_{F9EA5453-254A-4E69-9453-BD2A7BEA94E9}" xr6:coauthVersionLast="45" xr6:coauthVersionMax="45" xr10:uidLastSave="{00000000-0000-0000-0000-000000000000}"/>
  <bookViews>
    <workbookView xWindow="-120" yWindow="-120" windowWidth="38640" windowHeight="21390" tabRatio="798" xr2:uid="{00000000-000D-0000-FFFF-FFFF00000000}"/>
  </bookViews>
  <sheets>
    <sheet name="Eingabeblatt" sheetId="1" r:id="rId1"/>
    <sheet name="January" sheetId="444" r:id="rId2"/>
    <sheet name="February" sheetId="445" r:id="rId3"/>
    <sheet name="March" sheetId="446" r:id="rId4"/>
    <sheet name="April" sheetId="447" r:id="rId5"/>
    <sheet name="May" sheetId="448" r:id="rId6"/>
    <sheet name="June" sheetId="449" r:id="rId7"/>
    <sheet name="July" sheetId="450" r:id="rId8"/>
    <sheet name="August" sheetId="451" r:id="rId9"/>
    <sheet name="September" sheetId="452" r:id="rId10"/>
    <sheet name="October" sheetId="453" r:id="rId11"/>
    <sheet name="November" sheetId="454" r:id="rId12"/>
    <sheet name="December" sheetId="455" r:id="rId13"/>
    <sheet name="Jahresabrechnung" sheetId="15" r:id="rId14"/>
    <sheet name="Projektübersicht" sheetId="27" r:id="rId15"/>
    <sheet name="Projektübersicht-E+Q" sheetId="28" r:id="rId16"/>
    <sheet name="Tabellen" sheetId="31" r:id="rId17"/>
  </sheets>
  <definedNames>
    <definedName name="_xlnm.Print_Area" localSheetId="4">April!$A$1:$AP$124</definedName>
    <definedName name="_xlnm.Print_Area" localSheetId="8">August!$A$1:$AQ$124</definedName>
    <definedName name="_xlnm.Print_Area" localSheetId="12">December!$A$1:$AQ$124</definedName>
    <definedName name="_xlnm.Print_Area" localSheetId="0">Eingabeblatt!$A$1:$N$47</definedName>
    <definedName name="_xlnm.Print_Area" localSheetId="2">February!$A$1:$AO$124</definedName>
    <definedName name="_xlnm.Print_Area" localSheetId="13">Jahresabrechnung!$A$1:$AO$36</definedName>
    <definedName name="_xlnm.Print_Area" localSheetId="1">January!$A$1:$AQ$124</definedName>
    <definedName name="_xlnm.Print_Area" localSheetId="7">July!$A$1:$AQ$124</definedName>
    <definedName name="_xlnm.Print_Area" localSheetId="6">June!$A$1:$AP$124</definedName>
    <definedName name="_xlnm.Print_Area" localSheetId="3">March!$A$1:$AQ$124</definedName>
    <definedName name="_xlnm.Print_Area" localSheetId="5">May!$A$1:$AQ$124</definedName>
    <definedName name="_xlnm.Print_Area" localSheetId="11">November!$A$1:$AP$124</definedName>
    <definedName name="_xlnm.Print_Area" localSheetId="10">October!$A$1:$AQ$124</definedName>
    <definedName name="_xlnm.Print_Area" localSheetId="14">Projektübersicht!$A$1:$U$39</definedName>
    <definedName name="_xlnm.Print_Area" localSheetId="15">'Projektübersicht-E+Q'!$A$1:$AH$38</definedName>
    <definedName name="_xlnm.Print_Area" localSheetId="9">September!$A$1:$AP$124</definedName>
    <definedName name="EB.Anpassungszeitpunkt">Eingabeblatt!$B$53</definedName>
    <definedName name="EB.Anwendung">Eingabeblatt!$A$7</definedName>
    <definedName name="EB.AnzMonate">Eingabeblatt!$R$25</definedName>
    <definedName name="EB.AnzProjekte">Eingabeblatt!$H$29</definedName>
    <definedName name="EB.AZS">Eingabeblatt!$E$36</definedName>
    <definedName name="EB.AZSOLLMonat100.Bereich">Eingabeblatt!$B$13:$B$24</definedName>
    <definedName name="EB.AZSOLLTag100.Bereich">Eingabeblatt!$D$13:$D$24</definedName>
    <definedName name="EB.BG">Eingabeblatt!$L$7</definedName>
    <definedName name="EB.BG_Total">Eingabeblatt!$H$25</definedName>
    <definedName name="EB.DAG">Eingabeblatt!$E$32</definedName>
    <definedName name="EB.DAGber">Eingabeblatt!$O$32</definedName>
    <definedName name="EB.DurchSollTAZStd.Bereich">Eingabeblatt!$J$13:$J$24</definedName>
    <definedName name="EB.EffBG.Bereich">Eingabeblatt!$H$13:$H$24</definedName>
    <definedName name="EB.EffBG.Knoten">Eingabeblatt!$H$12</definedName>
    <definedName name="EB.Fakultaet">Eingabeblatt!$I$4</definedName>
    <definedName name="EB.Ferien">Eingabeblatt!$E$33</definedName>
    <definedName name="EB.FerienBer">Eingabeblatt!$O$33</definedName>
    <definedName name="EB.FerienSollJahr100">Eingabeblatt!$E$25</definedName>
    <definedName name="EB.Frei_Tage">Eingabeblatt!$E$34</definedName>
    <definedName name="EB.Funktion">Eingabeblatt!$I$2</definedName>
    <definedName name="EB.Geburtsdatum">Eingabeblatt!$B$4</definedName>
    <definedName name="EB.Geburtsjahr">Eingabeblatt!$F$4</definedName>
    <definedName name="EB.Institut">Eingabeblatt!$I$3</definedName>
    <definedName name="EB.Jahr">Eingabeblatt!$F$1</definedName>
    <definedName name="EB.Kom">Eingabeblatt!$E$35</definedName>
    <definedName name="EB.Lernender">Eingabeblatt!$I$6</definedName>
    <definedName name="EB.LKgr16">Eingabeblatt!$E$5</definedName>
    <definedName name="EB.LKgr16ab">Eingabeblatt!$F$5</definedName>
    <definedName name="EB.MFAStd.Knoten">Eingabeblatt!$K$12</definedName>
    <definedName name="EB.MKAStd.Knoten">Eingabeblatt!$L$12</definedName>
    <definedName name="EB.MMS">Eingabeblatt!$E$29</definedName>
    <definedName name="EB.Monate.Bereich">Eingabeblatt!$A$13:$A$24</definedName>
    <definedName name="EB.Name">Eingabeblatt!$B$3</definedName>
    <definedName name="EB.Personalkategorie">Eingabeblatt!$I$5</definedName>
    <definedName name="EB.Personalnummer">Eingabeblatt!$B$5</definedName>
    <definedName name="EB.Projektart.Bereich">Eingabeblatt!$I$31:$I$45</definedName>
    <definedName name="EB.Projektart.Knoten">Eingabeblatt!$I$30</definedName>
    <definedName name="EB.Projekte.Bereich">OFFSET(EB.Projekte.Knoten,1,0,EB.AnzProjekte,1)</definedName>
    <definedName name="EB.Projekte.ganzerBereich">OFFSET(EB.Projekte.Knoten,1,0,EB.AnzProjekte,6)</definedName>
    <definedName name="EB.Projekte.Knoten">Eingabeblatt!$H$30</definedName>
    <definedName name="EB.Projekte.RahmenBereich">Eingabeblatt!$H$31:$H$45</definedName>
    <definedName name="EB.RAZ_Wochentage.Bereich">Eingabeblatt!$A$39:$A$45</definedName>
    <definedName name="EB.RAZ1_7.Bereich">Eingabeblatt!$B$39:$B$45</definedName>
    <definedName name="EB.SollAZJahr100">Eingabeblatt!$B$25</definedName>
    <definedName name="EB.Sprache">Eingabeblatt!$N$1</definedName>
    <definedName name="EB.Tag1">Eingabeblatt!$B$2</definedName>
    <definedName name="EB.UeZ">Eingabeblatt!$E$30</definedName>
    <definedName name="EB.UJAustritt">Eingabeblatt!$F$6</definedName>
    <definedName name="EB.UJEintritt">Eingabeblatt!$B$6</definedName>
    <definedName name="EB.ÜVMMS">Eingabeblatt!$O$29</definedName>
    <definedName name="EB.ÜZZSBerechtigt">Eingabeblatt!$L$6</definedName>
    <definedName name="EB.Version">Eingabeblatt!$M$1</definedName>
    <definedName name="EB.WeitereAngaben">Eingabeblatt!$E$7</definedName>
    <definedName name="EB.Wochenarbeitszeit">Eingabeblatt!$I$7</definedName>
    <definedName name="EB.ZZNd">Eingabeblatt!$O$31</definedName>
    <definedName name="FieldtoSelect" localSheetId="4">April!$B$13</definedName>
    <definedName name="FieldtoSelect" localSheetId="8">August!$B$13</definedName>
    <definedName name="FieldtoSelect" localSheetId="12">December!$B$13</definedName>
    <definedName name="FieldtoSelect" localSheetId="0">Eingabeblatt!$B$3</definedName>
    <definedName name="FieldtoSelect" localSheetId="2">February!$B$13</definedName>
    <definedName name="FieldtoSelect" localSheetId="13">Jahresabrechnung!$A$1</definedName>
    <definedName name="FieldtoSelect" localSheetId="1">January!$B$13</definedName>
    <definedName name="FieldtoSelect" localSheetId="7">July!$B$13</definedName>
    <definedName name="FieldtoSelect" localSheetId="6">June!$B$13</definedName>
    <definedName name="FieldtoSelect" localSheetId="3">March!$B$13</definedName>
    <definedName name="FieldtoSelect" localSheetId="5">May!$B$13</definedName>
    <definedName name="FieldtoSelect" localSheetId="11">November!$B$13</definedName>
    <definedName name="FieldtoSelect" localSheetId="10">October!$B$13</definedName>
    <definedName name="FieldtoSelect" localSheetId="14">Projektübersicht!$A$1</definedName>
    <definedName name="FieldtoSelect" localSheetId="15">'Projektübersicht-E+Q'!$E$1</definedName>
    <definedName name="FieldtoSelect" localSheetId="9">September!$B$13</definedName>
    <definedName name="FieldtoSelect" localSheetId="16">Tabellen!$A$2</definedName>
    <definedName name="J.AZSaldo.Total">Jahresabrechnung!$F$27</definedName>
    <definedName name="J.Ferien.Total">Jahresabrechnung!$AC$27</definedName>
    <definedName name="J.FerienUE.Total">Jahresabrechnung!$AC$29</definedName>
    <definedName name="J.KomAZ.Total">Jahresabrechnung!$P$27</definedName>
    <definedName name="J.MMSUE.Total">Jahresabrechnung!$O$29</definedName>
    <definedName name="J.UeZ.Total">Jahresabrechnung!$M$27</definedName>
    <definedName name="Jahr.Abendarbeit.Total">Jahresabrechnung!$Y$27</definedName>
    <definedName name="Jahr.AngÜZ">Jahresabrechnung!$I$27</definedName>
    <definedName name="Jahr.AnzahlPiketttage.Total">Jahresabrechnung!$R$27</definedName>
    <definedName name="Jahr.Arzt.Total">Jahresabrechnung!$AD$27</definedName>
    <definedName name="Jahr.AZ.Total">Jahresabrechnung!$C$27</definedName>
    <definedName name="Jahr.BD.Total">Jahresabrechnung!$Z$27</definedName>
    <definedName name="Jahr.BesUrlaub.Total">Jahresabrechnung!$AJ$27</definedName>
    <definedName name="Jahr.BG.Total">Jahresabrechnung!$D$27</definedName>
    <definedName name="Jahr.BU.Total">Jahresabrechnung!$AF$27</definedName>
    <definedName name="Jahr.DAG.Total">Jahresabrechnung!$AM$27</definedName>
    <definedName name="Jahr.DAGUE.Total">Jahresabrechnung!$AM$29</definedName>
    <definedName name="Jahr.ein_aus.Total">Jahresabrechnung!$AO$27</definedName>
    <definedName name="Jahr.ein_aus_Pikett.Total">Jahresabrechnung!$S$27</definedName>
    <definedName name="Jahr.KompZZSND">Jahresabrechnung!$W$27</definedName>
    <definedName name="Jahr.KomUeZ.Total">Jahresabrechnung!$J$27</definedName>
    <definedName name="Jahr.Krank.Total">Jahresabrechnung!$AE$27</definedName>
    <definedName name="Jahr.MZS.Total">Jahresabrechnung!$AH$27</definedName>
    <definedName name="Jahr.NB.Total">Jahresabrechnung!$AL$27</definedName>
    <definedName name="Jahr.NBU.Total">Jahresabrechnung!$AG$27</definedName>
    <definedName name="Jahr.ND.Total">Jahresabrechnung!$T$27</definedName>
    <definedName name="Jahr.SD.Total">Jahresabrechnung!$AA$27</definedName>
    <definedName name="Jahr.SollAZNetto.Total">Jahresabrechnung!$E$27</definedName>
    <definedName name="Jahr.UeziZSUE.Total">Jahresabrechnung!$M$29</definedName>
    <definedName name="Jahr.UeZSaldo.Total">Jahresabrechnung!$K$27</definedName>
    <definedName name="Jahr.UnbesUrlaub.Total">Jahresabrechnung!$AK$27</definedName>
    <definedName name="Jahr.ÜZZSBerechtigt.Total">Jahresabrechnung!$L$27</definedName>
    <definedName name="Jahr.WB.Total">Jahresabrechnung!$AI$27</definedName>
    <definedName name="Jahr.ZählerND.Total">Jahresabrechnung!$U$27</definedName>
    <definedName name="Jahr.ZZSND.Total">Jahresabrechnung!$V$27</definedName>
    <definedName name="Jahr.ZZSNDSaldo">Jahresabrechnung!$X$27</definedName>
    <definedName name="Jahr.ZZSNDSaldoUE.Total">Jahresabrechnung!$X$29</definedName>
    <definedName name="Monat.AAUeVM" localSheetId="4">April!$AM$80</definedName>
    <definedName name="Monat.AAUeVM" localSheetId="8">August!$AN$80</definedName>
    <definedName name="Monat.AAUeVM" localSheetId="12">December!$AN$80</definedName>
    <definedName name="Monat.AAUeVM" localSheetId="2">February!$AL$80</definedName>
    <definedName name="Monat.AAUeVM" localSheetId="1">January!$AN$80</definedName>
    <definedName name="Monat.AAUeVM" localSheetId="7">July!$AN$80</definedName>
    <definedName name="Monat.AAUeVM" localSheetId="6">June!$AM$80</definedName>
    <definedName name="Monat.AAUeVM" localSheetId="3">March!$AN$80</definedName>
    <definedName name="Monat.AAUeVM" localSheetId="5">May!$AN$80</definedName>
    <definedName name="Monat.AAUeVM" localSheetId="11">November!$AM$80</definedName>
    <definedName name="Monat.AAUeVM" localSheetId="10">October!$AN$80</definedName>
    <definedName name="Monat.AAUeVM" localSheetId="9">September!$AM$80</definedName>
    <definedName name="Monat.AB.Total" localSheetId="4">April!$AH$86</definedName>
    <definedName name="Monat.AB.Total" localSheetId="8">August!$AI$86</definedName>
    <definedName name="Monat.AB.Total" localSheetId="12">December!$AI$86</definedName>
    <definedName name="Monat.AB.Total" localSheetId="2">February!$AG$86</definedName>
    <definedName name="Monat.AB.Total" localSheetId="1">January!$AI$86</definedName>
    <definedName name="Monat.AB.Total" localSheetId="7">July!$AI$86</definedName>
    <definedName name="Monat.AB.Total" localSheetId="6">June!$AH$86</definedName>
    <definedName name="Monat.AB.Total" localSheetId="3">March!$AI$86</definedName>
    <definedName name="Monat.AB.Total" localSheetId="5">May!$AI$86</definedName>
    <definedName name="Monat.AB.Total" localSheetId="11">November!$AH$86</definedName>
    <definedName name="Monat.AB.Total" localSheetId="10">October!$AI$86</definedName>
    <definedName name="Monat.AB.Total" localSheetId="9">September!$AH$86</definedName>
    <definedName name="Monat.Abendarbeit.Total" localSheetId="4">April!$AH$80</definedName>
    <definedName name="Monat.Abendarbeit.Total" localSheetId="8">August!$AI$80</definedName>
    <definedName name="Monat.Abendarbeit.Total" localSheetId="12">December!$AI$80</definedName>
    <definedName name="Monat.Abendarbeit.Total" localSheetId="2">February!$AG$80</definedName>
    <definedName name="Monat.Abendarbeit.Total" localSheetId="1">January!$AI$80</definedName>
    <definedName name="Monat.Abendarbeit.Total" localSheetId="7">July!$AI$80</definedName>
    <definedName name="Monat.Abendarbeit.Total" localSheetId="6">June!$AH$80</definedName>
    <definedName name="Monat.Abendarbeit.Total" localSheetId="3">March!$AI$80</definedName>
    <definedName name="Monat.Abendarbeit.Total" localSheetId="5">May!$AI$80</definedName>
    <definedName name="Monat.Abendarbeit.Total" localSheetId="11">November!$AH$80</definedName>
    <definedName name="Monat.Abendarbeit.Total" localSheetId="10">October!$AI$80</definedName>
    <definedName name="Monat.Abendarbeit.Total" localSheetId="9">September!$AH$80</definedName>
    <definedName name="Monat.AbendarbeitText" localSheetId="4">April!$A$80</definedName>
    <definedName name="Monat.AbendarbeitText" localSheetId="8">August!$A$80</definedName>
    <definedName name="Monat.AbendarbeitText" localSheetId="12">December!$A$80</definedName>
    <definedName name="Monat.AbendarbeitText" localSheetId="2">February!$A$80</definedName>
    <definedName name="Monat.AbendarbeitText" localSheetId="1">January!$A$80</definedName>
    <definedName name="Monat.AbendarbeitText" localSheetId="7">July!$A$80</definedName>
    <definedName name="Monat.AbendarbeitText" localSheetId="6">June!$A$80</definedName>
    <definedName name="Monat.AbendarbeitText" localSheetId="3">March!$A$80</definedName>
    <definedName name="Monat.AbendarbeitText" localSheetId="5">May!$A$80</definedName>
    <definedName name="Monat.AbendarbeitText" localSheetId="11">November!$A$80</definedName>
    <definedName name="Monat.AbendarbeitText" localSheetId="10">October!$A$80</definedName>
    <definedName name="Monat.AbendarbeitText" localSheetId="9">September!$A$80</definedName>
    <definedName name="Monat.AnUeZ.Total" localSheetId="4">April!$AH$60</definedName>
    <definedName name="Monat.AnUeZ.Total" localSheetId="8">August!$AI$60</definedName>
    <definedName name="Monat.AnUeZ.Total" localSheetId="12">December!$AI$60</definedName>
    <definedName name="Monat.AnUeZ.Total" localSheetId="2">February!$AG$60</definedName>
    <definedName name="Monat.AnUeZ.Total" localSheetId="1">January!$AI$60</definedName>
    <definedName name="Monat.AnUeZ.Total" localSheetId="7">July!$AI$60</definedName>
    <definedName name="Monat.AnUeZ.Total" localSheetId="6">June!$AH$60</definedName>
    <definedName name="Monat.AnUeZ.Total" localSheetId="3">March!$AI$60</definedName>
    <definedName name="Monat.AnUeZ.Total" localSheetId="5">May!$AI$60</definedName>
    <definedName name="Monat.AnUeZ.Total" localSheetId="11">November!$AH$60</definedName>
    <definedName name="Monat.AnUeZ.Total" localSheetId="10">October!$AI$60</definedName>
    <definedName name="Monat.AnUeZ.Total" localSheetId="9">September!$AH$60</definedName>
    <definedName name="Monat.AnUeZ.Zähler" localSheetId="4">April!$AI$60</definedName>
    <definedName name="Monat.AnUeZ.Zähler" localSheetId="8">August!$AJ$60</definedName>
    <definedName name="Monat.AnUeZ.Zähler" localSheetId="12">December!$AJ$60</definedName>
    <definedName name="Monat.AnUeZ.Zähler" localSheetId="2">February!$AH$60</definedName>
    <definedName name="Monat.AnUeZ.Zähler" localSheetId="1">January!$AJ$60</definedName>
    <definedName name="Monat.AnUeZ.Zähler" localSheetId="7">July!$AJ$60</definedName>
    <definedName name="Monat.AnUeZ.Zähler" localSheetId="6">June!$AI$60</definedName>
    <definedName name="Monat.AnUeZ.Zähler" localSheetId="3">March!$AJ$60</definedName>
    <definedName name="Monat.AnUeZ.Zähler" localSheetId="5">May!$AJ$60</definedName>
    <definedName name="Monat.AnUeZ.Zähler" localSheetId="11">November!$AI$60</definedName>
    <definedName name="Monat.AnUeZ.Zähler" localSheetId="10">October!$AJ$60</definedName>
    <definedName name="Monat.AnUeZ.Zähler" localSheetId="9">September!$AI$60</definedName>
    <definedName name="Monat.AnUeZText" localSheetId="4">April!$A$60</definedName>
    <definedName name="Monat.AnUeZText" localSheetId="8">August!$A$60</definedName>
    <definedName name="Monat.AnUeZText" localSheetId="12">December!$A$60</definedName>
    <definedName name="Monat.AnUeZText" localSheetId="2">February!$A$60</definedName>
    <definedName name="Monat.AnUeZText" localSheetId="1">January!$A$60</definedName>
    <definedName name="Monat.AnUeZText" localSheetId="7">July!$A$60</definedName>
    <definedName name="Monat.AnUeZText" localSheetId="6">June!$A$60</definedName>
    <definedName name="Monat.AnUeZText" localSheetId="3">March!$A$60</definedName>
    <definedName name="Monat.AnUeZText" localSheetId="5">May!$A$60</definedName>
    <definedName name="Monat.AnUeZText" localSheetId="11">November!$A$60</definedName>
    <definedName name="Monat.AnUeZText" localSheetId="10">October!$A$60</definedName>
    <definedName name="Monat.AnUeZText" localSheetId="9">September!$A$60</definedName>
    <definedName name="Monat.AnUeZUeVM" localSheetId="4">April!$AM$60</definedName>
    <definedName name="Monat.AnUeZUeVM" localSheetId="8">August!$AN$60</definedName>
    <definedName name="Monat.AnUeZUeVM" localSheetId="12">December!$AN$60</definedName>
    <definedName name="Monat.AnUeZUeVM" localSheetId="2">February!$AL$60</definedName>
    <definedName name="Monat.AnUeZUeVM" localSheetId="1">January!$AN$60</definedName>
    <definedName name="Monat.AnUeZUeVM" localSheetId="7">July!$AN$60</definedName>
    <definedName name="Monat.AnUeZUeVM" localSheetId="6">June!$AM$60</definedName>
    <definedName name="Monat.AnUeZUeVM" localSheetId="3">March!$AN$60</definedName>
    <definedName name="Monat.AnUeZUeVM" localSheetId="5">May!$AN$60</definedName>
    <definedName name="Monat.AnUeZUeVM" localSheetId="11">November!$AM$60</definedName>
    <definedName name="Monat.AnUeZUeVM" localSheetId="10">October!$AN$60</definedName>
    <definedName name="Monat.AnUeZUeVM" localSheetId="9">September!$AM$60</definedName>
    <definedName name="Monat.ArztText" localSheetId="4">April!$A$86</definedName>
    <definedName name="Monat.ArztText" localSheetId="8">August!$A$86</definedName>
    <definedName name="Monat.ArztText" localSheetId="12">December!$A$86</definedName>
    <definedName name="Monat.ArztText" localSheetId="2">February!$A$86</definedName>
    <definedName name="Monat.ArztText" localSheetId="1">January!$A$86</definedName>
    <definedName name="Monat.ArztText" localSheetId="7">July!$A$86</definedName>
    <definedName name="Monat.ArztText" localSheetId="6">June!$A$86</definedName>
    <definedName name="Monat.ArztText" localSheetId="3">March!$A$86</definedName>
    <definedName name="Monat.ArztText" localSheetId="5">May!$A$86</definedName>
    <definedName name="Monat.ArztText" localSheetId="11">November!$A$86</definedName>
    <definedName name="Monat.ArztText" localSheetId="10">October!$A$86</definedName>
    <definedName name="Monat.ArztText" localSheetId="9">September!$A$86</definedName>
    <definedName name="Monat.ArztUeVM" localSheetId="4">April!$AM$86</definedName>
    <definedName name="Monat.ArztUeVM" localSheetId="8">August!$AN$86</definedName>
    <definedName name="Monat.ArztUeVM" localSheetId="12">December!$AN$86</definedName>
    <definedName name="Monat.ArztUeVM" localSheetId="2">February!$AL$86</definedName>
    <definedName name="Monat.ArztUeVM" localSheetId="1">January!$AN$86</definedName>
    <definedName name="Monat.ArztUeVM" localSheetId="7">July!$AN$86</definedName>
    <definedName name="Monat.ArztUeVM" localSheetId="6">June!$AM$86</definedName>
    <definedName name="Monat.ArztUeVM" localSheetId="3">March!$AN$86</definedName>
    <definedName name="Monat.ArztUeVM" localSheetId="5">May!$AN$86</definedName>
    <definedName name="Monat.ArztUeVM" localSheetId="11">November!$AM$86</definedName>
    <definedName name="Monat.ArztUeVM" localSheetId="10">October!$AN$86</definedName>
    <definedName name="Monat.ArztUeVM" localSheetId="9">September!$AM$86</definedName>
    <definedName name="Monat.AZIstWRestUeVM" localSheetId="4">April!$AM$51</definedName>
    <definedName name="Monat.AZIstWRestUeVM" localSheetId="8">August!$AN$51</definedName>
    <definedName name="Monat.AZIstWRestUeVM" localSheetId="12">December!$AN$51</definedName>
    <definedName name="Monat.AZIstWRestUeVM" localSheetId="2">February!$AL$51</definedName>
    <definedName name="Monat.AZIstWRestUeVM" localSheetId="1">January!$AN$51</definedName>
    <definedName name="Monat.AZIstWRestUeVM" localSheetId="7">July!$AN$51</definedName>
    <definedName name="Monat.AZIstWRestUeVM" localSheetId="6">June!$AM$51</definedName>
    <definedName name="Monat.AZIstWRestUeVM" localSheetId="3">March!$AN$51</definedName>
    <definedName name="Monat.AZIstWRestUeVM" localSheetId="5">May!$AN$51</definedName>
    <definedName name="Monat.AZIstWRestUeVM" localSheetId="11">November!$AM$51</definedName>
    <definedName name="Monat.AZIstWRestUeVM" localSheetId="10">October!$AN$51</definedName>
    <definedName name="Monat.AZIstWRestUeVM" localSheetId="9">September!$AM$51</definedName>
    <definedName name="Monat.AZSaldoUeVM" localSheetId="4">April!$AM$56</definedName>
    <definedName name="Monat.AZSaldoUeVM" localSheetId="8">August!$AN$56</definedName>
    <definedName name="Monat.AZSaldoUeVM" localSheetId="12">December!$AN$56</definedName>
    <definedName name="Monat.AZSaldoUeVM" localSheetId="2">February!$AL$56</definedName>
    <definedName name="Monat.AZSaldoUeVM" localSheetId="1">January!$AN$56</definedName>
    <definedName name="Monat.AZSaldoUeVM" localSheetId="7">July!$AN$56</definedName>
    <definedName name="Monat.AZSaldoUeVM" localSheetId="6">June!$AM$56</definedName>
    <definedName name="Monat.AZSaldoUeVM" localSheetId="3">March!$AN$56</definedName>
    <definedName name="Monat.AZSaldoUeVM" localSheetId="5">May!$AN$56</definedName>
    <definedName name="Monat.AZSaldoUeVM" localSheetId="11">November!$AM$56</definedName>
    <definedName name="Monat.AZSaldoUeVM" localSheetId="10">October!$AN$56</definedName>
    <definedName name="Monat.AZSaldoUeVM" localSheetId="9">September!$AM$56</definedName>
    <definedName name="Monat.AZSoll.Total" localSheetId="4">April!$AH$53</definedName>
    <definedName name="Monat.AZSoll.Total" localSheetId="8">August!$AI$53</definedName>
    <definedName name="Monat.AZSoll.Total" localSheetId="12">December!$AI$53</definedName>
    <definedName name="Monat.AZSoll.Total" localSheetId="2">February!$AG$53</definedName>
    <definedName name="Monat.AZSoll.Total" localSheetId="1">January!$AI$53</definedName>
    <definedName name="Monat.AZSoll.Total" localSheetId="7">July!$AI$53</definedName>
    <definedName name="Monat.AZSoll.Total" localSheetId="6">June!$AH$53</definedName>
    <definedName name="Monat.AZSoll.Total" localSheetId="3">March!$AI$53</definedName>
    <definedName name="Monat.AZSoll.Total" localSheetId="5">May!$AI$53</definedName>
    <definedName name="Monat.AZSoll.Total" localSheetId="11">November!$AH$53</definedName>
    <definedName name="Monat.AZSoll.Total" localSheetId="10">October!$AI$53</definedName>
    <definedName name="Monat.AZSoll.Total" localSheetId="9">September!$AH$53</definedName>
    <definedName name="Monat.AZSoll100.Total" localSheetId="4">April!$AH$54</definedName>
    <definedName name="Monat.AZSoll100.Total" localSheetId="8">August!$AI$54</definedName>
    <definedName name="Monat.AZSoll100.Total" localSheetId="12">December!$AI$54</definedName>
    <definedName name="Monat.AZSoll100.Total" localSheetId="2">February!$AG$54</definedName>
    <definedName name="Monat.AZSoll100.Total" localSheetId="1">January!$AI$54</definedName>
    <definedName name="Monat.AZSoll100.Total" localSheetId="7">July!$AI$54</definedName>
    <definedName name="Monat.AZSoll100.Total" localSheetId="6">June!$AH$54</definedName>
    <definedName name="Monat.AZSoll100.Total" localSheetId="3">March!$AI$54</definedName>
    <definedName name="Monat.AZSoll100.Total" localSheetId="5">May!$AI$54</definedName>
    <definedName name="Monat.AZSoll100.Total" localSheetId="11">November!$AH$54</definedName>
    <definedName name="Monat.AZSoll100.Total" localSheetId="10">October!$AI$54</definedName>
    <definedName name="Monat.AZSoll100.Total" localSheetId="9">September!$AH$54</definedName>
    <definedName name="Monat.BD.Total" localSheetId="4">April!$AH$81</definedName>
    <definedName name="Monat.BD.Total" localSheetId="8">August!$AI$81</definedName>
    <definedName name="Monat.BD.Total" localSheetId="12">December!$AI$81</definedName>
    <definedName name="Monat.BD.Total" localSheetId="2">February!$AG$81</definedName>
    <definedName name="Monat.BD.Total" localSheetId="1">January!$AI$81</definedName>
    <definedName name="Monat.BD.Total" localSheetId="7">July!$AI$81</definedName>
    <definedName name="Monat.BD.Total" localSheetId="6">June!$AH$81</definedName>
    <definedName name="Monat.BD.Total" localSheetId="3">March!$AI$81</definedName>
    <definedName name="Monat.BD.Total" localSheetId="5">May!$AI$81</definedName>
    <definedName name="Monat.BD.Total" localSheetId="11">November!$AH$81</definedName>
    <definedName name="Monat.BD.Total" localSheetId="10">October!$AI$81</definedName>
    <definedName name="Monat.BD.Total" localSheetId="9">September!$AH$81</definedName>
    <definedName name="Monat.BDText" localSheetId="4">April!$A$81</definedName>
    <definedName name="Monat.BDText" localSheetId="8">August!$A$81</definedName>
    <definedName name="Monat.BDText" localSheetId="12">December!$A$81</definedName>
    <definedName name="Monat.BDText" localSheetId="2">February!$A$81</definedName>
    <definedName name="Monat.BDText" localSheetId="1">January!$A$81</definedName>
    <definedName name="Monat.BDText" localSheetId="7">July!$A$81</definedName>
    <definedName name="Monat.BDText" localSheetId="6">June!$A$81</definedName>
    <definedName name="Monat.BDText" localSheetId="3">March!$A$81</definedName>
    <definedName name="Monat.BDText" localSheetId="5">May!$A$81</definedName>
    <definedName name="Monat.BDText" localSheetId="11">November!$A$81</definedName>
    <definedName name="Monat.BDText" localSheetId="10">October!$A$81</definedName>
    <definedName name="Monat.BDText" localSheetId="9">September!$A$81</definedName>
    <definedName name="Monat.BDUeVM" localSheetId="4">April!$AM$81</definedName>
    <definedName name="Monat.BDUeVM" localSheetId="8">August!$AN$81</definedName>
    <definedName name="Monat.BDUeVM" localSheetId="12">December!$AN$81</definedName>
    <definedName name="Monat.BDUeVM" localSheetId="2">February!$AL$81</definedName>
    <definedName name="Monat.BDUeVM" localSheetId="1">January!$AN$81</definedName>
    <definedName name="Monat.BDUeVM" localSheetId="7">July!$AN$81</definedName>
    <definedName name="Monat.BDUeVM" localSheetId="6">June!$AM$81</definedName>
    <definedName name="Monat.BDUeVM" localSheetId="3">March!$AN$81</definedName>
    <definedName name="Monat.BDUeVM" localSheetId="5">May!$AN$81</definedName>
    <definedName name="Monat.BDUeVM" localSheetId="11">November!$AM$81</definedName>
    <definedName name="Monat.BDUeVM" localSheetId="10">October!$AN$81</definedName>
    <definedName name="Monat.BDUeVM" localSheetId="9">September!$AM$81</definedName>
    <definedName name="Monat.BesU.Total" localSheetId="4">April!$AH$92</definedName>
    <definedName name="Monat.BesU.Total" localSheetId="8">August!$AI$92</definedName>
    <definedName name="Monat.BesU.Total" localSheetId="12">December!$AI$92</definedName>
    <definedName name="Monat.BesU.Total" localSheetId="2">February!$AG$92</definedName>
    <definedName name="Monat.BesU.Total" localSheetId="1">January!$AI$92</definedName>
    <definedName name="Monat.BesU.Total" localSheetId="7">July!$AI$92</definedName>
    <definedName name="Monat.BesU.Total" localSheetId="6">June!$AH$92</definedName>
    <definedName name="Monat.BesU.Total" localSheetId="3">March!$AI$92</definedName>
    <definedName name="Monat.BesU.Total" localSheetId="5">May!$AI$92</definedName>
    <definedName name="Monat.BesU.Total" localSheetId="11">November!$AH$92</definedName>
    <definedName name="Monat.BesU.Total" localSheetId="10">October!$AI$92</definedName>
    <definedName name="Monat.BesU.Total" localSheetId="9">September!$AH$92</definedName>
    <definedName name="Monat.BesUrlaubText" localSheetId="4">April!$A$92</definedName>
    <definedName name="Monat.BesUrlaubText" localSheetId="8">August!$A$92</definedName>
    <definedName name="Monat.BesUrlaubText" localSheetId="12">December!$A$92</definedName>
    <definedName name="Monat.BesUrlaubText" localSheetId="2">February!$A$92</definedName>
    <definedName name="Monat.BesUrlaubText" localSheetId="1">January!$A$92</definedName>
    <definedName name="Monat.BesUrlaubText" localSheetId="7">July!$A$92</definedName>
    <definedName name="Monat.BesUrlaubText" localSheetId="6">June!$A$92</definedName>
    <definedName name="Monat.BesUrlaubText" localSheetId="3">March!$A$92</definedName>
    <definedName name="Monat.BesUrlaubText" localSheetId="5">May!$A$92</definedName>
    <definedName name="Monat.BesUrlaubText" localSheetId="11">November!$A$92</definedName>
    <definedName name="Monat.BesUrlaubText" localSheetId="10">October!$A$92</definedName>
    <definedName name="Monat.BesUrlaubText" localSheetId="9">September!$A$92</definedName>
    <definedName name="Monat.BesUrlaubUeVM" localSheetId="4">April!$AM$92</definedName>
    <definedName name="Monat.BesUrlaubUeVM" localSheetId="8">August!$AN$92</definedName>
    <definedName name="Monat.BesUrlaubUeVM" localSheetId="12">December!$AN$92</definedName>
    <definedName name="Monat.BesUrlaubUeVM" localSheetId="2">February!$AL$92</definedName>
    <definedName name="Monat.BesUrlaubUeVM" localSheetId="1">January!$AN$92</definedName>
    <definedName name="Monat.BesUrlaubUeVM" localSheetId="7">July!$AN$92</definedName>
    <definedName name="Monat.BesUrlaubUeVM" localSheetId="6">June!$AM$92</definedName>
    <definedName name="Monat.BesUrlaubUeVM" localSheetId="3">March!$AN$92</definedName>
    <definedName name="Monat.BesUrlaubUeVM" localSheetId="5">May!$AN$92</definedName>
    <definedName name="Monat.BesUrlaubUeVM" localSheetId="11">November!$AM$92</definedName>
    <definedName name="Monat.BesUrlaubUeVM" localSheetId="10">October!$AN$92</definedName>
    <definedName name="Monat.BesUrlaubUeVM" localSheetId="9">September!$AM$92</definedName>
    <definedName name="Monat.BU.Total" localSheetId="4">April!$AH$88</definedName>
    <definedName name="Monat.BU.Total" localSheetId="8">August!$AI$88</definedName>
    <definedName name="Monat.BU.Total" localSheetId="12">December!$AI$88</definedName>
    <definedName name="Monat.BU.Total" localSheetId="2">February!$AG$88</definedName>
    <definedName name="Monat.BU.Total" localSheetId="1">January!$AI$88</definedName>
    <definedName name="Monat.BU.Total" localSheetId="7">July!$AI$88</definedName>
    <definedName name="Monat.BU.Total" localSheetId="6">June!$AH$88</definedName>
    <definedName name="Monat.BU.Total" localSheetId="3">March!$AI$88</definedName>
    <definedName name="Monat.BU.Total" localSheetId="5">May!$AI$88</definedName>
    <definedName name="Monat.BU.Total" localSheetId="11">November!$AH$88</definedName>
    <definedName name="Monat.BU.Total" localSheetId="10">October!$AI$88</definedName>
    <definedName name="Monat.BU.Total" localSheetId="9">September!$AH$88</definedName>
    <definedName name="Monat.BUText" localSheetId="4">April!$A$88</definedName>
    <definedName name="Monat.BUText" localSheetId="8">August!$A$88</definedName>
    <definedName name="Monat.BUText" localSheetId="12">December!$A$88</definedName>
    <definedName name="Monat.BUText" localSheetId="2">February!$A$88</definedName>
    <definedName name="Monat.BUText" localSheetId="1">January!$A$88</definedName>
    <definedName name="Monat.BUText" localSheetId="7">July!$A$88</definedName>
    <definedName name="Monat.BUText" localSheetId="6">June!$A$88</definedName>
    <definedName name="Monat.BUText" localSheetId="3">March!$A$88</definedName>
    <definedName name="Monat.BUText" localSheetId="5">May!$A$88</definedName>
    <definedName name="Monat.BUText" localSheetId="11">November!$A$88</definedName>
    <definedName name="Monat.BUText" localSheetId="10">October!$A$88</definedName>
    <definedName name="Monat.BUText" localSheetId="9">September!$A$88</definedName>
    <definedName name="Monat.BUUeVM" localSheetId="4">April!$AM$88</definedName>
    <definedName name="Monat.BUUeVM" localSheetId="8">August!$AN$88</definedName>
    <definedName name="Monat.BUUeVM" localSheetId="12">December!$AN$88</definedName>
    <definedName name="Monat.BUUeVM" localSheetId="2">February!$AL$88</definedName>
    <definedName name="Monat.BUUeVM" localSheetId="1">January!$AN$88</definedName>
    <definedName name="Monat.BUUeVM" localSheetId="7">July!$AN$88</definedName>
    <definedName name="Monat.BUUeVM" localSheetId="6">June!$AM$88</definedName>
    <definedName name="Monat.BUUeVM" localSheetId="3">March!$AN$88</definedName>
    <definedName name="Monat.BUUeVM" localSheetId="5">May!$AN$88</definedName>
    <definedName name="Monat.BUUeVM" localSheetId="11">November!$AM$88</definedName>
    <definedName name="Monat.BUUeVM" localSheetId="10">October!$AN$88</definedName>
    <definedName name="Monat.BUUeVM" localSheetId="9">September!$AM$88</definedName>
    <definedName name="Monat.DAG.Total" localSheetId="4">April!$AH$95</definedName>
    <definedName name="Monat.DAG.Total" localSheetId="8">August!$AI$95</definedName>
    <definedName name="Monat.DAG.Total" localSheetId="12">December!$AI$95</definedName>
    <definedName name="Monat.DAG.Total" localSheetId="2">February!$AG$95</definedName>
    <definedName name="Monat.DAG.Total" localSheetId="1">January!$AI$95</definedName>
    <definedName name="Monat.DAG.Total" localSheetId="7">July!$AI$95</definedName>
    <definedName name="Monat.DAG.Total" localSheetId="6">June!$AH$95</definedName>
    <definedName name="Monat.DAG.Total" localSheetId="3">March!$AI$95</definedName>
    <definedName name="Monat.DAG.Total" localSheetId="5">May!$AI$95</definedName>
    <definedName name="Monat.DAG.Total" localSheetId="11">November!$AH$95</definedName>
    <definedName name="Monat.DAG.Total" localSheetId="10">October!$AI$95</definedName>
    <definedName name="Monat.DAG.Total" localSheetId="9">September!$AH$95</definedName>
    <definedName name="Monat.DAGText" localSheetId="4">April!$A$95</definedName>
    <definedName name="Monat.DAGText" localSheetId="8">August!$A$95</definedName>
    <definedName name="Monat.DAGText" localSheetId="12">December!$A$95</definedName>
    <definedName name="Monat.DAGText" localSheetId="2">February!$A$95</definedName>
    <definedName name="Monat.DAGText" localSheetId="1">January!$A$95</definedName>
    <definedName name="Monat.DAGText" localSheetId="7">July!$A$95</definedName>
    <definedName name="Monat.DAGText" localSheetId="6">June!$A$95</definedName>
    <definedName name="Monat.DAGText" localSheetId="3">March!$A$95</definedName>
    <definedName name="Monat.DAGText" localSheetId="5">May!$A$95</definedName>
    <definedName name="Monat.DAGText" localSheetId="11">November!$A$95</definedName>
    <definedName name="Monat.DAGText" localSheetId="10">October!$A$95</definedName>
    <definedName name="Monat.DAGText" localSheetId="9">September!$A$95</definedName>
    <definedName name="Monat.DAGUeVM" localSheetId="4">April!$AM$95</definedName>
    <definedName name="Monat.DAGUeVM" localSheetId="8">August!$AN$95</definedName>
    <definedName name="Monat.DAGUeVM" localSheetId="12">December!$AN$95</definedName>
    <definedName name="Monat.DAGUeVM" localSheetId="2">February!$AL$95</definedName>
    <definedName name="Monat.DAGUeVM" localSheetId="1">January!$AN$95</definedName>
    <definedName name="Monat.DAGUeVM" localSheetId="7">July!$AN$95</definedName>
    <definedName name="Monat.DAGUeVM" localSheetId="6">June!$AM$95</definedName>
    <definedName name="Monat.DAGUeVM" localSheetId="3">March!$AN$95</definedName>
    <definedName name="Monat.DAGUeVM" localSheetId="5">May!$AN$95</definedName>
    <definedName name="Monat.DAGUeVM" localSheetId="11">November!$AM$95</definedName>
    <definedName name="Monat.DAGUeVM" localSheetId="10">October!$AN$95</definedName>
    <definedName name="Monat.DAGUeVM" localSheetId="9">September!$AM$95</definedName>
    <definedName name="Monat.ein_aus.Total" localSheetId="4">April!$AH$23</definedName>
    <definedName name="Monat.ein_aus.Total" localSheetId="8">August!$AI$23</definedName>
    <definedName name="Monat.ein_aus.Total" localSheetId="12">December!$AI$23</definedName>
    <definedName name="Monat.ein_aus.Total" localSheetId="2">February!$AG$23</definedName>
    <definedName name="Monat.ein_aus.Total" localSheetId="1">January!$AI$23</definedName>
    <definedName name="Monat.ein_aus.Total" localSheetId="7">July!$AI$23</definedName>
    <definedName name="Monat.ein_aus.Total" localSheetId="6">June!$AH$23</definedName>
    <definedName name="Monat.ein_aus.Total" localSheetId="3">March!$AI$23</definedName>
    <definedName name="Monat.ein_aus.Total" localSheetId="5">May!$AI$23</definedName>
    <definedName name="Monat.ein_aus.Total" localSheetId="11">November!$AH$23</definedName>
    <definedName name="Monat.ein_aus.Total" localSheetId="10">October!$AI$23</definedName>
    <definedName name="Monat.ein_aus.Total" localSheetId="9">September!$AH$23</definedName>
    <definedName name="Monat.ein_aus_Pikett.Total" localSheetId="4">April!$AH$45</definedName>
    <definedName name="Monat.ein_aus_Pikett.Total" localSheetId="8">August!$AI$45</definedName>
    <definedName name="Monat.ein_aus_Pikett.Total" localSheetId="12">December!$AI$45</definedName>
    <definedName name="Monat.ein_aus_Pikett.Total" localSheetId="2">February!$AG$45</definedName>
    <definedName name="Monat.ein_aus_Pikett.Total" localSheetId="1">January!$AI$45</definedName>
    <definedName name="Monat.ein_aus_Pikett.Total" localSheetId="7">July!$AI$45</definedName>
    <definedName name="Monat.ein_aus_Pikett.Total" localSheetId="6">June!$AH$45</definedName>
    <definedName name="Monat.ein_aus_Pikett.Total" localSheetId="3">March!$AI$45</definedName>
    <definedName name="Monat.ein_aus_Pikett.Total" localSheetId="5">May!$AI$45</definedName>
    <definedName name="Monat.ein_aus_Pikett.Total" localSheetId="11">November!$AH$45</definedName>
    <definedName name="Monat.ein_aus_Pikett.Total" localSheetId="10">October!$AI$45</definedName>
    <definedName name="Monat.ein_aus_Pikett.Total" localSheetId="9">September!$AH$45</definedName>
    <definedName name="Monat.ein_aus_PikettText" localSheetId="4">April!$A$45</definedName>
    <definedName name="Monat.ein_aus_PikettText" localSheetId="8">August!$A$45</definedName>
    <definedName name="Monat.ein_aus_PikettText" localSheetId="12">December!$A$45</definedName>
    <definedName name="Monat.ein_aus_PikettText" localSheetId="2">February!$A$45</definedName>
    <definedName name="Monat.ein_aus_PikettText" localSheetId="1">January!$A$45</definedName>
    <definedName name="Monat.ein_aus_PikettText" localSheetId="7">July!$A$45</definedName>
    <definedName name="Monat.ein_aus_PikettText" localSheetId="6">June!$A$45</definedName>
    <definedName name="Monat.ein_aus_PikettText" localSheetId="3">March!$A$45</definedName>
    <definedName name="Monat.ein_aus_PikettText" localSheetId="5">May!$A$45</definedName>
    <definedName name="Monat.ein_aus_PikettText" localSheetId="11">November!$A$45</definedName>
    <definedName name="Monat.ein_aus_PikettText" localSheetId="10">October!$A$45</definedName>
    <definedName name="Monat.ein_aus_PikettText" localSheetId="9">September!$A$45</definedName>
    <definedName name="Monat.ein_ausText" localSheetId="4">April!$A$23</definedName>
    <definedName name="Monat.ein_ausText" localSheetId="8">August!$A$23</definedName>
    <definedName name="Monat.ein_ausText" localSheetId="12">December!$A$23</definedName>
    <definedName name="Monat.ein_ausText" localSheetId="2">February!$A$23</definedName>
    <definedName name="Monat.ein_ausText" localSheetId="1">January!$A$23</definedName>
    <definedName name="Monat.ein_ausText" localSheetId="7">July!$A$23</definedName>
    <definedName name="Monat.ein_ausText" localSheetId="6">June!$A$23</definedName>
    <definedName name="Monat.ein_ausText" localSheetId="3">March!$A$23</definedName>
    <definedName name="Monat.ein_ausText" localSheetId="5">May!$A$23</definedName>
    <definedName name="Monat.ein_ausText" localSheetId="11">November!$A$23</definedName>
    <definedName name="Monat.ein_ausText" localSheetId="10">October!$A$23</definedName>
    <definedName name="Monat.ein_ausText" localSheetId="9">September!$A$23</definedName>
    <definedName name="Monat.Ferien.JS" localSheetId="4">April!$AN$84</definedName>
    <definedName name="Monat.Ferien.JS" localSheetId="8">August!$AO$84</definedName>
    <definedName name="Monat.Ferien.JS" localSheetId="12">December!$AO$84</definedName>
    <definedName name="Monat.Ferien.JS" localSheetId="2">February!$AM$84</definedName>
    <definedName name="Monat.Ferien.JS" localSheetId="1">January!$AO$84</definedName>
    <definedName name="Monat.Ferien.JS" localSheetId="7">July!$AO$84</definedName>
    <definedName name="Monat.Ferien.JS" localSheetId="6">June!$AN$84</definedName>
    <definedName name="Monat.Ferien.JS" localSheetId="3">March!$AO$84</definedName>
    <definedName name="Monat.Ferien.JS" localSheetId="5">May!$AO$84</definedName>
    <definedName name="Monat.Ferien.JS" localSheetId="11">November!$AN$84</definedName>
    <definedName name="Monat.Ferien.JS" localSheetId="10">October!$AO$84</definedName>
    <definedName name="Monat.Ferien.JS" localSheetId="9">September!$AN$84</definedName>
    <definedName name="Monat.Ferien.Total" localSheetId="4">April!$AH$84</definedName>
    <definedName name="Monat.Ferien.Total" localSheetId="8">August!$AI$84</definedName>
    <definedName name="Monat.Ferien.Total" localSheetId="12">December!$AI$84</definedName>
    <definedName name="Monat.Ferien.Total" localSheetId="2">February!$AG$84</definedName>
    <definedName name="Monat.Ferien.Total" localSheetId="1">January!$AI$84</definedName>
    <definedName name="Monat.Ferien.Total" localSheetId="7">July!$AI$84</definedName>
    <definedName name="Monat.Ferien.Total" localSheetId="6">June!$AH$84</definedName>
    <definedName name="Monat.Ferien.Total" localSheetId="3">March!$AI$84</definedName>
    <definedName name="Monat.Ferien.Total" localSheetId="5">May!$AI$84</definedName>
    <definedName name="Monat.Ferien.Total" localSheetId="11">November!$AH$84</definedName>
    <definedName name="Monat.Ferien.Total" localSheetId="10">October!$AI$84</definedName>
    <definedName name="Monat.Ferien.Total" localSheetId="9">September!$AH$84</definedName>
    <definedName name="Monat.FerienKor.Total" localSheetId="4">April!$AH$85</definedName>
    <definedName name="Monat.FerienKor.Total" localSheetId="8">August!$AI$85</definedName>
    <definedName name="Monat.FerienKor.Total" localSheetId="12">December!$AI$85</definedName>
    <definedName name="Monat.FerienKor.Total" localSheetId="2">February!$AG$85</definedName>
    <definedName name="Monat.FerienKor.Total" localSheetId="1">January!$AI$85</definedName>
    <definedName name="Monat.FerienKor.Total" localSheetId="7">July!$AI$85</definedName>
    <definedName name="Monat.FerienKor.Total" localSheetId="6">June!$AH$85</definedName>
    <definedName name="Monat.FerienKor.Total" localSheetId="3">March!$AI$85</definedName>
    <definedName name="Monat.FerienKor.Total" localSheetId="5">May!$AI$85</definedName>
    <definedName name="Monat.FerienKor.Total" localSheetId="11">November!$AH$85</definedName>
    <definedName name="Monat.FerienKor.Total" localSheetId="10">October!$AI$85</definedName>
    <definedName name="Monat.FerienKor.Total" localSheetId="9">September!$AH$85</definedName>
    <definedName name="Monat.FerienText" localSheetId="4">April!$A$84</definedName>
    <definedName name="Monat.FerienText" localSheetId="8">August!$A$84</definedName>
    <definedName name="Monat.FerienText" localSheetId="12">December!$A$84</definedName>
    <definedName name="Monat.FerienText" localSheetId="2">February!$A$84</definedName>
    <definedName name="Monat.FerienText" localSheetId="1">January!$A$84</definedName>
    <definedName name="Monat.FerienText" localSheetId="7">July!$A$84</definedName>
    <definedName name="Monat.FerienText" localSheetId="6">June!$A$84</definedName>
    <definedName name="Monat.FerienText" localSheetId="3">March!$A$84</definedName>
    <definedName name="Monat.FerienText" localSheetId="5">May!$A$84</definedName>
    <definedName name="Monat.FerienText" localSheetId="11">November!$A$84</definedName>
    <definedName name="Monat.FerienText" localSheetId="10">October!$A$84</definedName>
    <definedName name="Monat.FerienText" localSheetId="9">September!$A$84</definedName>
    <definedName name="Monat.FerienUeVM" localSheetId="4">April!$AM$84</definedName>
    <definedName name="Monat.FerienUeVM" localSheetId="8">August!$AN$84</definedName>
    <definedName name="Monat.FerienUeVM" localSheetId="12">December!$AN$84</definedName>
    <definedName name="Monat.FerienUeVM" localSheetId="2">February!$AL$84</definedName>
    <definedName name="Monat.FerienUeVM" localSheetId="1">January!$AN$84</definedName>
    <definedName name="Monat.FerienUeVM" localSheetId="7">July!$AN$84</definedName>
    <definedName name="Monat.FerienUeVM" localSheetId="6">June!$AM$84</definedName>
    <definedName name="Monat.FerienUeVM" localSheetId="3">March!$AN$84</definedName>
    <definedName name="Monat.FerienUeVM" localSheetId="5">May!$AN$84</definedName>
    <definedName name="Monat.FerienUeVM" localSheetId="11">November!$AM$84</definedName>
    <definedName name="Monat.FerienUeVM" localSheetId="10">October!$AN$84</definedName>
    <definedName name="Monat.FerienUeVM" localSheetId="9">September!$AM$84</definedName>
    <definedName name="Monat.Kom.JS" localSheetId="4">April!$AN$67</definedName>
    <definedName name="Monat.Kom.JS" localSheetId="8">August!$AO$67</definedName>
    <definedName name="Monat.Kom.JS" localSheetId="12">December!$AO$67</definedName>
    <definedName name="Monat.Kom.JS" localSheetId="2">February!$AM$67</definedName>
    <definedName name="Monat.Kom.JS" localSheetId="1">January!$AO$67</definedName>
    <definedName name="Monat.Kom.JS" localSheetId="7">July!$AO$67</definedName>
    <definedName name="Monat.Kom.JS" localSheetId="6">June!$AN$67</definedName>
    <definedName name="Monat.Kom.JS" localSheetId="3">March!$AO$67</definedName>
    <definedName name="Monat.Kom.JS" localSheetId="5">May!$AO$67</definedName>
    <definedName name="Monat.Kom.JS" localSheetId="11">November!$AN$67</definedName>
    <definedName name="Monat.Kom.JS" localSheetId="10">October!$AO$67</definedName>
    <definedName name="Monat.Kom.JS" localSheetId="9">September!$AN$67</definedName>
    <definedName name="Monat.KomAZ.Total" localSheetId="4">April!$AH$67</definedName>
    <definedName name="Monat.KomAZ.Total" localSheetId="8">August!$AI$67</definedName>
    <definedName name="Monat.KomAZ.Total" localSheetId="12">December!$AI$67</definedName>
    <definedName name="Monat.KomAZ.Total" localSheetId="2">February!$AG$67</definedName>
    <definedName name="Monat.KomAZ.Total" localSheetId="1">January!$AI$67</definedName>
    <definedName name="Monat.KomAZ.Total" localSheetId="7">July!$AI$67</definedName>
    <definedName name="Monat.KomAZ.Total" localSheetId="6">June!$AH$67</definedName>
    <definedName name="Monat.KomAZ.Total" localSheetId="3">March!$AI$67</definedName>
    <definedName name="Monat.KomAZ.Total" localSheetId="5">May!$AI$67</definedName>
    <definedName name="Monat.KomAZ.Total" localSheetId="11">November!$AH$67</definedName>
    <definedName name="Monat.KomAZ.Total" localSheetId="10">October!$AI$67</definedName>
    <definedName name="Monat.KomAZ.Total" localSheetId="9">September!$AH$67</definedName>
    <definedName name="Monat.KomAZText" localSheetId="4">April!$A$67</definedName>
    <definedName name="Monat.KomAZText" localSheetId="8">August!$A$67</definedName>
    <definedName name="Monat.KomAZText" localSheetId="12">December!$A$67</definedName>
    <definedName name="Monat.KomAZText" localSheetId="2">February!$A$67</definedName>
    <definedName name="Monat.KomAZText" localSheetId="1">January!$A$67</definedName>
    <definedName name="Monat.KomAZText" localSheetId="7">July!$A$67</definedName>
    <definedName name="Monat.KomAZText" localSheetId="6">June!$A$67</definedName>
    <definedName name="Monat.KomAZText" localSheetId="3">March!$A$67</definedName>
    <definedName name="Monat.KomAZText" localSheetId="5">May!$A$67</definedName>
    <definedName name="Monat.KomAZText" localSheetId="11">November!$A$67</definedName>
    <definedName name="Monat.KomAZText" localSheetId="10">October!$A$67</definedName>
    <definedName name="Monat.KomAZText" localSheetId="9">September!$A$67</definedName>
    <definedName name="Monat.KompAZInd.UeVM" localSheetId="4">April!$AM$68</definedName>
    <definedName name="Monat.KompAZInd.UeVM" localSheetId="8">August!$AN$68</definedName>
    <definedName name="Monat.KompAZInd.UeVM" localSheetId="12">December!$AN$68</definedName>
    <definedName name="Monat.KompAZInd.UeVM" localSheetId="2">February!$AL$68</definedName>
    <definedName name="Monat.KompAZInd.UeVM" localSheetId="1">January!$AN$68</definedName>
    <definedName name="Monat.KompAZInd.UeVM" localSheetId="7">July!$AN$68</definedName>
    <definedName name="Monat.KompAZInd.UeVM" localSheetId="6">June!$AM$68</definedName>
    <definedName name="Monat.KompAZInd.UeVM" localSheetId="3">March!$AN$68</definedName>
    <definedName name="Monat.KompAZInd.UeVM" localSheetId="5">May!$AN$68</definedName>
    <definedName name="Monat.KompAZInd.UeVM" localSheetId="11">November!$AM$68</definedName>
    <definedName name="Monat.KompAZInd.UeVM" localSheetId="10">October!$AN$68</definedName>
    <definedName name="Monat.KompAZInd.UeVM" localSheetId="9">September!$AM$68</definedName>
    <definedName name="Monat.KompZZSND.Total" localSheetId="4">April!$AH$71</definedName>
    <definedName name="Monat.KompZZSND.Total" localSheetId="8">August!$AI$71</definedName>
    <definedName name="Monat.KompZZSND.Total" localSheetId="12">December!$AI$71</definedName>
    <definedName name="Monat.KompZZSND.Total" localSheetId="2">February!$AG$71</definedName>
    <definedName name="Monat.KompZZSND.Total" localSheetId="1">January!$AI$71</definedName>
    <definedName name="Monat.KompZZSND.Total" localSheetId="7">July!$AI$71</definedName>
    <definedName name="Monat.KompZZSND.Total" localSheetId="6">June!$AH$71</definedName>
    <definedName name="Monat.KompZZSND.Total" localSheetId="3">March!$AI$71</definedName>
    <definedName name="Monat.KompZZSND.Total" localSheetId="5">May!$AI$71</definedName>
    <definedName name="Monat.KompZZSND.Total" localSheetId="11">November!$AH$71</definedName>
    <definedName name="Monat.KompZZSND.Total" localSheetId="10">October!$AI$71</definedName>
    <definedName name="Monat.KompZZSND.Total" localSheetId="9">September!$AH$71</definedName>
    <definedName name="Monat.KompZZSNDText" localSheetId="4">April!$A$71</definedName>
    <definedName name="Monat.KompZZSNDText" localSheetId="8">August!$A$71</definedName>
    <definedName name="Monat.KompZZSNDText" localSheetId="12">December!$A$71</definedName>
    <definedName name="Monat.KompZZSNDText" localSheetId="2">February!$A$71</definedName>
    <definedName name="Monat.KompZZSNDText" localSheetId="1">January!$A$71</definedName>
    <definedName name="Monat.KompZZSNDText" localSheetId="7">July!$A$71</definedName>
    <definedName name="Monat.KompZZSNDText" localSheetId="6">June!$A$71</definedName>
    <definedName name="Monat.KompZZSNDText" localSheetId="3">March!$A$71</definedName>
    <definedName name="Monat.KompZZSNDText" localSheetId="5">May!$A$71</definedName>
    <definedName name="Monat.KompZZSNDText" localSheetId="11">November!$A$71</definedName>
    <definedName name="Monat.KompZZSNDText" localSheetId="10">October!$A$71</definedName>
    <definedName name="Monat.KompZZSNDText" localSheetId="9">September!$A$71</definedName>
    <definedName name="Monat.KompZZSNDUeVM" localSheetId="4">April!$AM$71</definedName>
    <definedName name="Monat.KompZZSNDUeVM" localSheetId="8">August!$AN$71</definedName>
    <definedName name="Monat.KompZZSNDUeVM" localSheetId="12">December!$AN$71</definedName>
    <definedName name="Monat.KompZZSNDUeVM" localSheetId="2">February!$AL$71</definedName>
    <definedName name="Monat.KompZZSNDUeVM" localSheetId="1">January!$AN$71</definedName>
    <definedName name="Monat.KompZZSNDUeVM" localSheetId="7">July!$AN$71</definedName>
    <definedName name="Monat.KompZZSNDUeVM" localSheetId="6">June!$AM$71</definedName>
    <definedName name="Monat.KompZZSNDUeVM" localSheetId="3">March!$AN$71</definedName>
    <definedName name="Monat.KompZZSNDUeVM" localSheetId="5">May!$AN$71</definedName>
    <definedName name="Monat.KompZZSNDUeVM" localSheetId="11">November!$AM$71</definedName>
    <definedName name="Monat.KompZZSNDUeVM" localSheetId="10">October!$AN$71</definedName>
    <definedName name="Monat.KompZZSNDUeVM" localSheetId="9">September!$AM$71</definedName>
    <definedName name="Monat.KomUeVM" localSheetId="4">April!$AM$67</definedName>
    <definedName name="Monat.KomUeVM" localSheetId="8">August!$AN$67</definedName>
    <definedName name="Monat.KomUeVM" localSheetId="12">December!$AN$67</definedName>
    <definedName name="Monat.KomUeVM" localSheetId="2">February!$AL$67</definedName>
    <definedName name="Monat.KomUeVM" localSheetId="1">January!$AN$67</definedName>
    <definedName name="Monat.KomUeVM" localSheetId="7">July!$AN$67</definedName>
    <definedName name="Monat.KomUeVM" localSheetId="6">June!$AM$67</definedName>
    <definedName name="Monat.KomUeVM" localSheetId="3">March!$AN$67</definedName>
    <definedName name="Monat.KomUeVM" localSheetId="5">May!$AN$67</definedName>
    <definedName name="Monat.KomUeVM" localSheetId="11">November!$AM$67</definedName>
    <definedName name="Monat.KomUeVM" localSheetId="10">October!$AN$67</definedName>
    <definedName name="Monat.KomUeVM" localSheetId="9">September!$AM$67</definedName>
    <definedName name="Monat.KomUeZ.Total" localSheetId="4">April!$AH$61</definedName>
    <definedName name="Monat.KomUeZ.Total" localSheetId="8">August!$AI$61</definedName>
    <definedName name="Monat.KomUeZ.Total" localSheetId="12">December!$AI$61</definedName>
    <definedName name="Monat.KomUeZ.Total" localSheetId="2">February!$AG$61</definedName>
    <definedName name="Monat.KomUeZ.Total" localSheetId="1">January!$AI$61</definedName>
    <definedName name="Monat.KomUeZ.Total" localSheetId="7">July!$AI$61</definedName>
    <definedName name="Monat.KomUeZ.Total" localSheetId="6">June!$AH$61</definedName>
    <definedName name="Monat.KomUeZ.Total" localSheetId="3">March!$AI$61</definedName>
    <definedName name="Monat.KomUeZ.Total" localSheetId="5">May!$AI$61</definedName>
    <definedName name="Monat.KomUeZ.Total" localSheetId="11">November!$AH$61</definedName>
    <definedName name="Monat.KomUeZ.Total" localSheetId="10">October!$AI$61</definedName>
    <definedName name="Monat.KomUeZ.Total" localSheetId="9">September!$AH$61</definedName>
    <definedName name="Monat.KomUeZText" localSheetId="4">April!$A$61</definedName>
    <definedName name="Monat.KomUeZText" localSheetId="8">August!$A$61</definedName>
    <definedName name="Monat.KomUeZText" localSheetId="12">December!$A$61</definedName>
    <definedName name="Monat.KomUeZText" localSheetId="2">February!$A$61</definedName>
    <definedName name="Monat.KomUeZText" localSheetId="1">January!$A$61</definedName>
    <definedName name="Monat.KomUeZText" localSheetId="7">July!$A$61</definedName>
    <definedName name="Monat.KomUeZText" localSheetId="6">June!$A$61</definedName>
    <definedName name="Monat.KomUeZText" localSheetId="3">March!$A$61</definedName>
    <definedName name="Monat.KomUeZText" localSheetId="5">May!$A$61</definedName>
    <definedName name="Monat.KomUeZText" localSheetId="11">November!$A$61</definedName>
    <definedName name="Monat.KomUeZText" localSheetId="10">October!$A$61</definedName>
    <definedName name="Monat.KomUeZText" localSheetId="9">September!$A$61</definedName>
    <definedName name="Monat.Krank.Total" localSheetId="4">April!$AH$87</definedName>
    <definedName name="Monat.Krank.Total" localSheetId="8">August!$AI$87</definedName>
    <definedName name="Monat.Krank.Total" localSheetId="12">December!$AI$87</definedName>
    <definedName name="Monat.Krank.Total" localSheetId="2">February!$AG$87</definedName>
    <definedName name="Monat.Krank.Total" localSheetId="1">January!$AI$87</definedName>
    <definedName name="Monat.Krank.Total" localSheetId="7">July!$AI$87</definedName>
    <definedName name="Monat.Krank.Total" localSheetId="6">June!$AH$87</definedName>
    <definedName name="Monat.Krank.Total" localSheetId="3">March!$AI$87</definedName>
    <definedName name="Monat.Krank.Total" localSheetId="5">May!$AI$87</definedName>
    <definedName name="Monat.Krank.Total" localSheetId="11">November!$AH$87</definedName>
    <definedName name="Monat.Krank.Total" localSheetId="10">October!$AI$87</definedName>
    <definedName name="Monat.Krank.Total" localSheetId="9">September!$AH$87</definedName>
    <definedName name="Monat.KrankText" localSheetId="4">April!$A$87</definedName>
    <definedName name="Monat.KrankText" localSheetId="8">August!$A$87</definedName>
    <definedName name="Monat.KrankText" localSheetId="12">December!$A$87</definedName>
    <definedName name="Monat.KrankText" localSheetId="2">February!$A$87</definedName>
    <definedName name="Monat.KrankText" localSheetId="1">January!$A$87</definedName>
    <definedName name="Monat.KrankText" localSheetId="7">July!$A$87</definedName>
    <definedName name="Monat.KrankText" localSheetId="6">June!$A$87</definedName>
    <definedName name="Monat.KrankText" localSheetId="3">March!$A$87</definedName>
    <definedName name="Monat.KrankText" localSheetId="5">May!$A$87</definedName>
    <definedName name="Monat.KrankText" localSheetId="11">November!$A$87</definedName>
    <definedName name="Monat.KrankText" localSheetId="10">October!$A$87</definedName>
    <definedName name="Monat.KrankText" localSheetId="9">September!$A$87</definedName>
    <definedName name="Monat.KrankUeVM" localSheetId="4">April!$AM$87</definedName>
    <definedName name="Monat.KrankUeVM" localSheetId="8">August!$AN$87</definedName>
    <definedName name="Monat.KrankUeVM" localSheetId="12">December!$AN$87</definedName>
    <definedName name="Monat.KrankUeVM" localSheetId="2">February!$AL$87</definedName>
    <definedName name="Monat.KrankUeVM" localSheetId="1">January!$AN$87</definedName>
    <definedName name="Monat.KrankUeVM" localSheetId="7">July!$AN$87</definedName>
    <definedName name="Monat.KrankUeVM" localSheetId="6">June!$AM$87</definedName>
    <definedName name="Monat.KrankUeVM" localSheetId="3">March!$AN$87</definedName>
    <definedName name="Monat.KrankUeVM" localSheetId="5">May!$AN$87</definedName>
    <definedName name="Monat.KrankUeVM" localSheetId="11">November!$AM$87</definedName>
    <definedName name="Monat.KrankUeVM" localSheetId="10">October!$AN$87</definedName>
    <definedName name="Monat.KrankUeVM" localSheetId="9">September!$AM$87</definedName>
    <definedName name="Monat.Militaer.Total" localSheetId="4">April!$AH$90</definedName>
    <definedName name="Monat.Militaer.Total" localSheetId="8">August!$AI$90</definedName>
    <definedName name="Monat.Militaer.Total" localSheetId="12">December!$AI$90</definedName>
    <definedName name="Monat.Militaer.Total" localSheetId="2">February!$AG$90</definedName>
    <definedName name="Monat.Militaer.Total" localSheetId="1">January!$AI$90</definedName>
    <definedName name="Monat.Militaer.Total" localSheetId="7">July!$AI$90</definedName>
    <definedName name="Monat.Militaer.Total" localSheetId="6">June!$AH$90</definedName>
    <definedName name="Monat.Militaer.Total" localSheetId="3">March!$AI$90</definedName>
    <definedName name="Monat.Militaer.Total" localSheetId="5">May!$AI$90</definedName>
    <definedName name="Monat.Militaer.Total" localSheetId="11">November!$AH$90</definedName>
    <definedName name="Monat.Militaer.Total" localSheetId="10">October!$AI$90</definedName>
    <definedName name="Monat.Militaer.Total" localSheetId="9">September!$AH$90</definedName>
    <definedName name="Monat.MMS.Total" localSheetId="4">April!$AH$58</definedName>
    <definedName name="Monat.MMS.Total" localSheetId="8">August!$AI$58</definedName>
    <definedName name="Monat.MMS.Total" localSheetId="12">December!$AI$58</definedName>
    <definedName name="Monat.MMS.Total" localSheetId="2">February!$AG$58</definedName>
    <definedName name="Monat.MMS.Total" localSheetId="1">January!$AI$58</definedName>
    <definedName name="Monat.MMS.Total" localSheetId="7">July!$AI$58</definedName>
    <definedName name="Monat.MMS.Total" localSheetId="6">June!$AH$58</definedName>
    <definedName name="Monat.MMS.Total" localSheetId="3">March!$AI$58</definedName>
    <definedName name="Monat.MMS.Total" localSheetId="5">May!$AI$58</definedName>
    <definedName name="Monat.MMS.Total" localSheetId="11">November!$AH$58</definedName>
    <definedName name="Monat.MMS.Total" localSheetId="10">October!$AI$58</definedName>
    <definedName name="Monat.MMS.Total" localSheetId="9">September!$AH$58</definedName>
    <definedName name="Monat.MMS.UeVM" localSheetId="4">April!$AM$58</definedName>
    <definedName name="Monat.MMS.UeVM" localSheetId="8">August!$AN$58</definedName>
    <definedName name="Monat.MMS.UeVM" localSheetId="12">December!$AN$58</definedName>
    <definedName name="Monat.MMS.UeVM" localSheetId="2">February!$AL$58</definedName>
    <definedName name="Monat.MMS.UeVM" localSheetId="1">January!$AN$58</definedName>
    <definedName name="Monat.MMS.UeVM" localSheetId="7">July!$AN$58</definedName>
    <definedName name="Monat.MMS.UeVM" localSheetId="6">June!$AM$58</definedName>
    <definedName name="Monat.MMS.UeVM" localSheetId="3">March!$AN$58</definedName>
    <definedName name="Monat.MMS.UeVM" localSheetId="5">May!$AN$58</definedName>
    <definedName name="Monat.MMS.UeVM" localSheetId="11">November!$AM$58</definedName>
    <definedName name="Monat.MMS.UeVM" localSheetId="10">October!$AN$58</definedName>
    <definedName name="Monat.MMS.UeVM" localSheetId="9">September!$AM$58</definedName>
    <definedName name="Monat.MZSText" localSheetId="4">April!$A$90</definedName>
    <definedName name="Monat.MZSText" localSheetId="8">August!$A$90</definedName>
    <definedName name="Monat.MZSText" localSheetId="12">December!$A$90</definedName>
    <definedName name="Monat.MZSText" localSheetId="2">February!$A$90</definedName>
    <definedName name="Monat.MZSText" localSheetId="1">January!$A$90</definedName>
    <definedName name="Monat.MZSText" localSheetId="7">July!$A$90</definedName>
    <definedName name="Monat.MZSText" localSheetId="6">June!$A$90</definedName>
    <definedName name="Monat.MZSText" localSheetId="3">March!$A$90</definedName>
    <definedName name="Monat.MZSText" localSheetId="5">May!$A$90</definedName>
    <definedName name="Monat.MZSText" localSheetId="11">November!$A$90</definedName>
    <definedName name="Monat.MZSText" localSheetId="10">October!$A$90</definedName>
    <definedName name="Monat.MZSText" localSheetId="9">September!$A$90</definedName>
    <definedName name="Monat.MZSUeVM" localSheetId="4">April!$AM$90</definedName>
    <definedName name="Monat.MZSUeVM" localSheetId="8">August!$AN$90</definedName>
    <definedName name="Monat.MZSUeVM" localSheetId="12">December!$AN$90</definedName>
    <definedName name="Monat.MZSUeVM" localSheetId="2">February!$AL$90</definedName>
    <definedName name="Monat.MZSUeVM" localSheetId="1">January!$AN$90</definedName>
    <definedName name="Monat.MZSUeVM" localSheetId="7">July!$AN$90</definedName>
    <definedName name="Monat.MZSUeVM" localSheetId="6">June!$AM$90</definedName>
    <definedName name="Monat.MZSUeVM" localSheetId="3">March!$AN$90</definedName>
    <definedName name="Monat.MZSUeVM" localSheetId="5">May!$AN$90</definedName>
    <definedName name="Monat.MZSUeVM" localSheetId="11">November!$AM$90</definedName>
    <definedName name="Monat.MZSUeVM" localSheetId="10">October!$AN$90</definedName>
    <definedName name="Monat.MZSUeVM" localSheetId="9">September!$AM$90</definedName>
    <definedName name="Monat.NB.Total" localSheetId="4">April!$AH$94</definedName>
    <definedName name="Monat.NB.Total" localSheetId="8">August!$AI$94</definedName>
    <definedName name="Monat.NB.Total" localSheetId="12">December!$AI$94</definedName>
    <definedName name="Monat.NB.Total" localSheetId="2">February!$AG$94</definedName>
    <definedName name="Monat.NB.Total" localSheetId="1">January!$AI$94</definedName>
    <definedName name="Monat.NB.Total" localSheetId="7">July!$AI$94</definedName>
    <definedName name="Monat.NB.Total" localSheetId="6">June!$AH$94</definedName>
    <definedName name="Monat.NB.Total" localSheetId="3">March!$AI$94</definedName>
    <definedName name="Monat.NB.Total" localSheetId="5">May!$AI$94</definedName>
    <definedName name="Monat.NB.Total" localSheetId="11">November!$AH$94</definedName>
    <definedName name="Monat.NB.Total" localSheetId="10">October!$AI$94</definedName>
    <definedName name="Monat.NB.Total" localSheetId="9">September!$AH$94</definedName>
    <definedName name="Monat.NBText" localSheetId="4">April!$A$94</definedName>
    <definedName name="Monat.NBText" localSheetId="8">August!$A$94</definedName>
    <definedName name="Monat.NBText" localSheetId="12">December!$A$94</definedName>
    <definedName name="Monat.NBText" localSheetId="2">February!$A$94</definedName>
    <definedName name="Monat.NBText" localSheetId="1">January!$A$94</definedName>
    <definedName name="Monat.NBText" localSheetId="7">July!$A$94</definedName>
    <definedName name="Monat.NBText" localSheetId="6">June!$A$94</definedName>
    <definedName name="Monat.NBText" localSheetId="3">March!$A$94</definedName>
    <definedName name="Monat.NBText" localSheetId="5">May!$A$94</definedName>
    <definedName name="Monat.NBText" localSheetId="11">November!$A$94</definedName>
    <definedName name="Monat.NBText" localSheetId="10">October!$A$94</definedName>
    <definedName name="Monat.NBText" localSheetId="9">September!$A$94</definedName>
    <definedName name="Monat.NBU.Total" localSheetId="4">April!$AH$89</definedName>
    <definedName name="Monat.NBU.Total" localSheetId="8">August!$AI$89</definedName>
    <definedName name="Monat.NBU.Total" localSheetId="12">December!$AI$89</definedName>
    <definedName name="Monat.NBU.Total" localSheetId="2">February!$AG$89</definedName>
    <definedName name="Monat.NBU.Total" localSheetId="1">January!$AI$89</definedName>
    <definedName name="Monat.NBU.Total" localSheetId="7">July!$AI$89</definedName>
    <definedName name="Monat.NBU.Total" localSheetId="6">June!$AH$89</definedName>
    <definedName name="Monat.NBU.Total" localSheetId="3">March!$AI$89</definedName>
    <definedName name="Monat.NBU.Total" localSheetId="5">May!$AI$89</definedName>
    <definedName name="Monat.NBU.Total" localSheetId="11">November!$AH$89</definedName>
    <definedName name="Monat.NBU.Total" localSheetId="10">October!$AI$89</definedName>
    <definedName name="Monat.NBU.Total" localSheetId="9">September!$AH$89</definedName>
    <definedName name="Monat.NBUeVM" localSheetId="4">April!$AM$94</definedName>
    <definedName name="Monat.NBUeVM" localSheetId="8">August!$AN$94</definedName>
    <definedName name="Monat.NBUeVM" localSheetId="12">December!$AN$94</definedName>
    <definedName name="Monat.NBUeVM" localSheetId="2">February!$AL$94</definedName>
    <definedName name="Monat.NBUeVM" localSheetId="1">January!$AN$94</definedName>
    <definedName name="Monat.NBUeVM" localSheetId="7">July!$AN$94</definedName>
    <definedName name="Monat.NBUeVM" localSheetId="6">June!$AM$94</definedName>
    <definedName name="Monat.NBUeVM" localSheetId="3">March!$AN$94</definedName>
    <definedName name="Monat.NBUeVM" localSheetId="5">May!$AN$94</definedName>
    <definedName name="Monat.NBUeVM" localSheetId="11">November!$AM$94</definedName>
    <definedName name="Monat.NBUeVM" localSheetId="10">October!$AN$94</definedName>
    <definedName name="Monat.NBUeVM" localSheetId="9">September!$AM$94</definedName>
    <definedName name="Monat.NBUText" localSheetId="4">April!$A$89</definedName>
    <definedName name="Monat.NBUText" localSheetId="8">August!$A$89</definedName>
    <definedName name="Monat.NBUText" localSheetId="12">December!$A$89</definedName>
    <definedName name="Monat.NBUText" localSheetId="2">February!$A$89</definedName>
    <definedName name="Monat.NBUText" localSheetId="1">January!$A$89</definedName>
    <definedName name="Monat.NBUText" localSheetId="7">July!$A$89</definedName>
    <definedName name="Monat.NBUText" localSheetId="6">June!$A$89</definedName>
    <definedName name="Monat.NBUText" localSheetId="3">March!$A$89</definedName>
    <definedName name="Monat.NBUText" localSheetId="5">May!$A$89</definedName>
    <definedName name="Monat.NBUText" localSheetId="11">November!$A$89</definedName>
    <definedName name="Monat.NBUText" localSheetId="10">October!$A$89</definedName>
    <definedName name="Monat.NBUText" localSheetId="9">September!$A$89</definedName>
    <definedName name="Monat.NBUUeVM" localSheetId="4">April!$AM$89</definedName>
    <definedName name="Monat.NBUUeVM" localSheetId="8">August!$AN$89</definedName>
    <definedName name="Monat.NBUUeVM" localSheetId="12">December!$AN$89</definedName>
    <definedName name="Monat.NBUUeVM" localSheetId="2">February!$AL$89</definedName>
    <definedName name="Monat.NBUUeVM" localSheetId="1">January!$AN$89</definedName>
    <definedName name="Monat.NBUUeVM" localSheetId="7">July!$AN$89</definedName>
    <definedName name="Monat.NBUUeVM" localSheetId="6">June!$AM$89</definedName>
    <definedName name="Monat.NBUUeVM" localSheetId="3">March!$AN$89</definedName>
    <definedName name="Monat.NBUUeVM" localSheetId="5">May!$AN$89</definedName>
    <definedName name="Monat.NBUUeVM" localSheetId="11">November!$AM$89</definedName>
    <definedName name="Monat.NBUUeVM" localSheetId="10">October!$AN$89</definedName>
    <definedName name="Monat.NBUUeVM" localSheetId="9">September!$AM$89</definedName>
    <definedName name="Monat.ND.Total" localSheetId="4">April!$AH$73</definedName>
    <definedName name="Monat.ND.Total" localSheetId="8">August!$AI$73</definedName>
    <definedName name="Monat.ND.Total" localSheetId="12">December!$AI$73</definedName>
    <definedName name="Monat.ND.Total" localSheetId="2">February!$AG$73</definedName>
    <definedName name="Monat.ND.Total" localSheetId="1">January!$AI$73</definedName>
    <definedName name="Monat.ND.Total" localSheetId="7">July!$AI$73</definedName>
    <definedName name="Monat.ND.Total" localSheetId="6">June!$AH$73</definedName>
    <definedName name="Monat.ND.Total" localSheetId="3">March!$AI$73</definedName>
    <definedName name="Monat.ND.Total" localSheetId="5">May!$AI$73</definedName>
    <definedName name="Monat.ND.Total" localSheetId="11">November!$AH$73</definedName>
    <definedName name="Monat.ND.Total" localSheetId="10">October!$AI$73</definedName>
    <definedName name="Monat.ND.Total" localSheetId="9">September!$AH$73</definedName>
    <definedName name="Monat.NDgesternTag1" localSheetId="4">April!$B$76</definedName>
    <definedName name="Monat.NDgesternTag1" localSheetId="8">August!$B$76</definedName>
    <definedName name="Monat.NDgesternTag1" localSheetId="12">December!$B$76</definedName>
    <definedName name="Monat.NDgesternTag1" localSheetId="2">February!$B$76</definedName>
    <definedName name="Monat.NDgesternTag1" localSheetId="1">January!$B$76</definedName>
    <definedName name="Monat.NDgesternTag1" localSheetId="7">July!$B$76</definedName>
    <definedName name="Monat.NDgesternTag1" localSheetId="6">June!$B$76</definedName>
    <definedName name="Monat.NDgesternTag1" localSheetId="3">March!$B$76</definedName>
    <definedName name="Monat.NDgesternTag1" localSheetId="5">May!$B$76</definedName>
    <definedName name="Monat.NDgesternTag1" localSheetId="11">November!$B$76</definedName>
    <definedName name="Monat.NDgesternTag1" localSheetId="10">October!$B$76</definedName>
    <definedName name="Monat.NDgesternTag1" localSheetId="9">September!$B$76</definedName>
    <definedName name="Monat.NDText" localSheetId="4">April!$A$73</definedName>
    <definedName name="Monat.NDText" localSheetId="8">August!$A$73</definedName>
    <definedName name="Monat.NDText" localSheetId="12">December!$A$73</definedName>
    <definedName name="Monat.NDText" localSheetId="2">February!$A$73</definedName>
    <definedName name="Monat.NDText" localSheetId="1">January!$A$73</definedName>
    <definedName name="Monat.NDText" localSheetId="7">July!$A$73</definedName>
    <definedName name="Monat.NDText" localSheetId="6">June!$A$73</definedName>
    <definedName name="Monat.NDText" localSheetId="3">March!$A$73</definedName>
    <definedName name="Monat.NDText" localSheetId="5">May!$A$73</definedName>
    <definedName name="Monat.NDText" localSheetId="11">November!$A$73</definedName>
    <definedName name="Monat.NDText" localSheetId="10">October!$A$73</definedName>
    <definedName name="Monat.NDText" localSheetId="9">September!$A$73</definedName>
    <definedName name="Monat.NDUeVM" localSheetId="4">April!$AM$73</definedName>
    <definedName name="Monat.NDUeVM" localSheetId="8">August!$AN$73</definedName>
    <definedName name="Monat.NDUeVM" localSheetId="12">December!$AN$73</definedName>
    <definedName name="Monat.NDUeVM" localSheetId="2">February!$AL$73</definedName>
    <definedName name="Monat.NDUeVM" localSheetId="1">January!$AN$73</definedName>
    <definedName name="Monat.NDUeVM" localSheetId="7">July!$AN$73</definedName>
    <definedName name="Monat.NDUeVM" localSheetId="6">June!$AM$73</definedName>
    <definedName name="Monat.NDUeVM" localSheetId="3">March!$AN$73</definedName>
    <definedName name="Monat.NDUeVM" localSheetId="5">May!$AN$73</definedName>
    <definedName name="Monat.NDUeVM" localSheetId="11">November!$AM$73</definedName>
    <definedName name="Monat.NDUeVM" localSheetId="10">October!$AN$73</definedName>
    <definedName name="Monat.NDUeVM" localSheetId="9">September!$AM$73</definedName>
    <definedName name="Monat.P10UeVM" localSheetId="4">April!$AM$106</definedName>
    <definedName name="Monat.P10UeVM" localSheetId="8">August!$AN$106</definedName>
    <definedName name="Monat.P10UeVM" localSheetId="12">December!$AN$106</definedName>
    <definedName name="Monat.P10UeVM" localSheetId="2">February!$AL$106</definedName>
    <definedName name="Monat.P10UeVM" localSheetId="1">January!$AN$106</definedName>
    <definedName name="Monat.P10UeVM" localSheetId="7">July!$AN$106</definedName>
    <definedName name="Monat.P10UeVM" localSheetId="6">June!$AM$106</definedName>
    <definedName name="Monat.P10UeVM" localSheetId="3">March!$AN$106</definedName>
    <definedName name="Monat.P10UeVM" localSheetId="5">May!$AN$106</definedName>
    <definedName name="Monat.P10UeVM" localSheetId="11">November!$AM$106</definedName>
    <definedName name="Monat.P10UeVM" localSheetId="10">October!$AN$106</definedName>
    <definedName name="Monat.P10UeVM" localSheetId="9">September!$AM$106</definedName>
    <definedName name="Monat.P11UeVM" localSheetId="4">April!$AM$107</definedName>
    <definedName name="Monat.P11UeVM" localSheetId="8">August!$AN$107</definedName>
    <definedName name="Monat.P11UeVM" localSheetId="12">December!$AN$107</definedName>
    <definedName name="Monat.P11UeVM" localSheetId="2">February!$AL$107</definedName>
    <definedName name="Monat.P11UeVM" localSheetId="1">January!$AN$107</definedName>
    <definedName name="Monat.P11UeVM" localSheetId="7">July!$AN$107</definedName>
    <definedName name="Monat.P11UeVM" localSheetId="6">June!$AM$107</definedName>
    <definedName name="Monat.P11UeVM" localSheetId="3">March!$AN$107</definedName>
    <definedName name="Monat.P11UeVM" localSheetId="5">May!$AN$107</definedName>
    <definedName name="Monat.P11UeVM" localSheetId="11">November!$AM$107</definedName>
    <definedName name="Monat.P11UeVM" localSheetId="10">October!$AN$107</definedName>
    <definedName name="Monat.P11UeVM" localSheetId="9">September!$AM$107</definedName>
    <definedName name="Monat.P12UeVM" localSheetId="4">April!$AM$108</definedName>
    <definedName name="Monat.P12UeVM" localSheetId="8">August!$AN$108</definedName>
    <definedName name="Monat.P12UeVM" localSheetId="12">December!$AN$108</definedName>
    <definedName name="Monat.P12UeVM" localSheetId="2">February!$AL$108</definedName>
    <definedName name="Monat.P12UeVM" localSheetId="1">January!$AN$108</definedName>
    <definedName name="Monat.P12UeVM" localSheetId="7">July!$AN$108</definedName>
    <definedName name="Monat.P12UeVM" localSheetId="6">June!$AM$108</definedName>
    <definedName name="Monat.P12UeVM" localSheetId="3">March!$AN$108</definedName>
    <definedName name="Monat.P12UeVM" localSheetId="5">May!$AN$108</definedName>
    <definedName name="Monat.P12UeVM" localSheetId="11">November!$AM$108</definedName>
    <definedName name="Monat.P12UeVM" localSheetId="10">October!$AN$108</definedName>
    <definedName name="Monat.P12UeVM" localSheetId="9">September!$AM$108</definedName>
    <definedName name="Monat.P13UeVM" localSheetId="4">April!$AM$109</definedName>
    <definedName name="Monat.P13UeVM" localSheetId="8">August!$AN$109</definedName>
    <definedName name="Monat.P13UeVM" localSheetId="12">December!$AN$109</definedName>
    <definedName name="Monat.P13UeVM" localSheetId="2">February!$AL$109</definedName>
    <definedName name="Monat.P13UeVM" localSheetId="1">January!$AN$109</definedName>
    <definedName name="Monat.P13UeVM" localSheetId="7">July!$AN$109</definedName>
    <definedName name="Monat.P13UeVM" localSheetId="6">June!$AM$109</definedName>
    <definedName name="Monat.P13UeVM" localSheetId="3">March!$AN$109</definedName>
    <definedName name="Monat.P13UeVM" localSheetId="5">May!$AN$109</definedName>
    <definedName name="Monat.P13UeVM" localSheetId="11">November!$AM$109</definedName>
    <definedName name="Monat.P13UeVM" localSheetId="10">October!$AN$109</definedName>
    <definedName name="Monat.P13UeVM" localSheetId="9">September!$AM$109</definedName>
    <definedName name="Monat.P14UeVM" localSheetId="4">April!$AM$110</definedName>
    <definedName name="Monat.P14UeVM" localSheetId="8">August!$AN$110</definedName>
    <definedName name="Monat.P14UeVM" localSheetId="12">December!$AN$110</definedName>
    <definedName name="Monat.P14UeVM" localSheetId="2">February!$AL$110</definedName>
    <definedName name="Monat.P14UeVM" localSheetId="1">January!$AN$110</definedName>
    <definedName name="Monat.P14UeVM" localSheetId="7">July!$AN$110</definedName>
    <definedName name="Monat.P14UeVM" localSheetId="6">June!$AM$110</definedName>
    <definedName name="Monat.P14UeVM" localSheetId="3">March!$AN$110</definedName>
    <definedName name="Monat.P14UeVM" localSheetId="5">May!$AN$110</definedName>
    <definedName name="Monat.P14UeVM" localSheetId="11">November!$AM$110</definedName>
    <definedName name="Monat.P14UeVM" localSheetId="10">October!$AN$110</definedName>
    <definedName name="Monat.P14UeVM" localSheetId="9">September!$AM$110</definedName>
    <definedName name="Monat.P15UeVM" localSheetId="4">April!$AM$111</definedName>
    <definedName name="Monat.P15UeVM" localSheetId="8">August!$AN$111</definedName>
    <definedName name="Monat.P15UeVM" localSheetId="12">December!$AN$111</definedName>
    <definedName name="Monat.P15UeVM" localSheetId="2">February!$AL$111</definedName>
    <definedName name="Monat.P15UeVM" localSheetId="1">January!$AN$111</definedName>
    <definedName name="Monat.P15UeVM" localSheetId="7">July!$AN$111</definedName>
    <definedName name="Monat.P15UeVM" localSheetId="6">June!$AM$111</definedName>
    <definedName name="Monat.P15UeVM" localSheetId="3">March!$AN$111</definedName>
    <definedName name="Monat.P15UeVM" localSheetId="5">May!$AN$111</definedName>
    <definedName name="Monat.P15UeVM" localSheetId="11">November!$AM$111</definedName>
    <definedName name="Monat.P15UeVM" localSheetId="10">October!$AN$111</definedName>
    <definedName name="Monat.P15UeVM" localSheetId="9">September!$AM$111</definedName>
    <definedName name="Monat.P1UeVM" localSheetId="4">April!$AM$97</definedName>
    <definedName name="Monat.P1UeVM" localSheetId="8">August!$AN$97</definedName>
    <definedName name="Monat.P1UeVM" localSheetId="12">December!$AN$97</definedName>
    <definedName name="Monat.P1UeVM" localSheetId="2">February!$AL$97</definedName>
    <definedName name="Monat.P1UeVM" localSheetId="1">January!$AN$97</definedName>
    <definedName name="Monat.P1UeVM" localSheetId="7">July!$AN$97</definedName>
    <definedName name="Monat.P1UeVM" localSheetId="6">June!$AM$97</definedName>
    <definedName name="Monat.P1UeVM" localSheetId="3">March!$AN$97</definedName>
    <definedName name="Monat.P1UeVM" localSheetId="5">May!$AN$97</definedName>
    <definedName name="Monat.P1UeVM" localSheetId="11">November!$AM$97</definedName>
    <definedName name="Monat.P1UeVM" localSheetId="10">October!$AN$97</definedName>
    <definedName name="Monat.P1UeVM" localSheetId="9">September!$AM$97</definedName>
    <definedName name="Monat.P2UeVM" localSheetId="4">April!$AM$98</definedName>
    <definedName name="Monat.P2UeVM" localSheetId="8">August!$AN$98</definedName>
    <definedName name="Monat.P2UeVM" localSheetId="12">December!$AN$98</definedName>
    <definedName name="Monat.P2UeVM" localSheetId="2">February!$AL$98</definedName>
    <definedName name="Monat.P2UeVM" localSheetId="1">January!$AN$98</definedName>
    <definedName name="Monat.P2UeVM" localSheetId="7">July!$AN$98</definedName>
    <definedName name="Monat.P2UeVM" localSheetId="6">June!$AM$98</definedName>
    <definedName name="Monat.P2UeVM" localSheetId="3">March!$AN$98</definedName>
    <definedName name="Monat.P2UeVM" localSheetId="5">May!$AN$98</definedName>
    <definedName name="Monat.P2UeVM" localSheetId="11">November!$AM$98</definedName>
    <definedName name="Monat.P2UeVM" localSheetId="10">October!$AN$98</definedName>
    <definedName name="Monat.P2UeVM" localSheetId="9">September!$AM$98</definedName>
    <definedName name="Monat.P3UeVM" localSheetId="4">April!$AM$99</definedName>
    <definedName name="Monat.P3UeVM" localSheetId="8">August!$AN$99</definedName>
    <definedName name="Monat.P3UeVM" localSheetId="12">December!$AN$99</definedName>
    <definedName name="Monat.P3UeVM" localSheetId="2">February!$AL$99</definedName>
    <definedName name="Monat.P3UeVM" localSheetId="1">January!$AN$99</definedName>
    <definedName name="Monat.P3UeVM" localSheetId="7">July!$AN$99</definedName>
    <definedName name="Monat.P3UeVM" localSheetId="6">June!$AM$99</definedName>
    <definedName name="Monat.P3UeVM" localSheetId="3">March!$AN$99</definedName>
    <definedName name="Monat.P3UeVM" localSheetId="5">May!$AN$99</definedName>
    <definedName name="Monat.P3UeVM" localSheetId="11">November!$AM$99</definedName>
    <definedName name="Monat.P3UeVM" localSheetId="10">October!$AN$99</definedName>
    <definedName name="Monat.P3UeVM" localSheetId="9">September!$AM$99</definedName>
    <definedName name="Monat.P4UeVM" localSheetId="4">April!$AM$100</definedName>
    <definedName name="Monat.P4UeVM" localSheetId="8">August!$AN$100</definedName>
    <definedName name="Monat.P4UeVM" localSheetId="12">December!$AN$100</definedName>
    <definedName name="Monat.P4UeVM" localSheetId="2">February!$AL$100</definedName>
    <definedName name="Monat.P4UeVM" localSheetId="1">January!$AN$100</definedName>
    <definedName name="Monat.P4UeVM" localSheetId="7">July!$AN$100</definedName>
    <definedName name="Monat.P4UeVM" localSheetId="6">June!$AM$100</definedName>
    <definedName name="Monat.P4UeVM" localSheetId="3">March!$AN$100</definedName>
    <definedName name="Monat.P4UeVM" localSheetId="5">May!$AN$100</definedName>
    <definedName name="Monat.P4UeVM" localSheetId="11">November!$AM$100</definedName>
    <definedName name="Monat.P4UeVM" localSheetId="10">October!$AN$100</definedName>
    <definedName name="Monat.P4UeVM" localSheetId="9">September!$AM$100</definedName>
    <definedName name="Monat.P5UeVM" localSheetId="4">April!$AM$101</definedName>
    <definedName name="Monat.P5UeVM" localSheetId="8">August!$AN$101</definedName>
    <definedName name="Monat.P5UeVM" localSheetId="12">December!$AN$101</definedName>
    <definedName name="Monat.P5UeVM" localSheetId="2">February!$AL$101</definedName>
    <definedName name="Monat.P5UeVM" localSheetId="1">January!$AN$101</definedName>
    <definedName name="Monat.P5UeVM" localSheetId="7">July!$AN$101</definedName>
    <definedName name="Monat.P5UeVM" localSheetId="6">June!$AM$101</definedName>
    <definedName name="Monat.P5UeVM" localSheetId="3">March!$AN$101</definedName>
    <definedName name="Monat.P5UeVM" localSheetId="5">May!$AN$101</definedName>
    <definedName name="Monat.P5UeVM" localSheetId="11">November!$AM$101</definedName>
    <definedName name="Monat.P5UeVM" localSheetId="10">October!$AN$101</definedName>
    <definedName name="Monat.P5UeVM" localSheetId="9">September!$AM$101</definedName>
    <definedName name="Monat.P6UeVM" localSheetId="4">April!$AM$102</definedName>
    <definedName name="Monat.P6UeVM" localSheetId="8">August!$AN$102</definedName>
    <definedName name="Monat.P6UeVM" localSheetId="12">December!$AN$102</definedName>
    <definedName name="Monat.P6UeVM" localSheetId="2">February!$AL$102</definedName>
    <definedName name="Monat.P6UeVM" localSheetId="1">January!$AN$102</definedName>
    <definedName name="Monat.P6UeVM" localSheetId="7">July!$AN$102</definedName>
    <definedName name="Monat.P6UeVM" localSheetId="6">June!$AM$102</definedName>
    <definedName name="Monat.P6UeVM" localSheetId="3">March!$AN$102</definedName>
    <definedName name="Monat.P6UeVM" localSheetId="5">May!$AN$102</definedName>
    <definedName name="Monat.P6UeVM" localSheetId="11">November!$AM$102</definedName>
    <definedName name="Monat.P6UeVM" localSheetId="10">October!$AN$102</definedName>
    <definedName name="Monat.P6UeVM" localSheetId="9">September!$AM$102</definedName>
    <definedName name="Monat.P7UeVM" localSheetId="4">April!$AM$103</definedName>
    <definedName name="Monat.P7UeVM" localSheetId="8">August!$AN$103</definedName>
    <definedName name="Monat.P7UeVM" localSheetId="12">December!$AN$103</definedName>
    <definedName name="Monat.P7UeVM" localSheetId="2">February!$AL$103</definedName>
    <definedName name="Monat.P7UeVM" localSheetId="1">January!$AN$103</definedName>
    <definedName name="Monat.P7UeVM" localSheetId="7">July!$AN$103</definedName>
    <definedName name="Monat.P7UeVM" localSheetId="6">June!$AM$103</definedName>
    <definedName name="Monat.P7UeVM" localSheetId="3">March!$AN$103</definedName>
    <definedName name="Monat.P7UeVM" localSheetId="5">May!$AN$103</definedName>
    <definedName name="Monat.P7UeVM" localSheetId="11">November!$AM$103</definedName>
    <definedName name="Monat.P7UeVM" localSheetId="10">October!$AN$103</definedName>
    <definedName name="Monat.P7UeVM" localSheetId="9">September!$AM$103</definedName>
    <definedName name="Monat.P8UeVM" localSheetId="4">April!$AM$104</definedName>
    <definedName name="Monat.P8UeVM" localSheetId="8">August!$AN$104</definedName>
    <definedName name="Monat.P8UeVM" localSheetId="12">December!$AN$104</definedName>
    <definedName name="Monat.P8UeVM" localSheetId="2">February!$AL$104</definedName>
    <definedName name="Monat.P8UeVM" localSheetId="1">January!$AN$104</definedName>
    <definedName name="Monat.P8UeVM" localSheetId="7">July!$AN$104</definedName>
    <definedName name="Monat.P8UeVM" localSheetId="6">June!$AM$104</definedName>
    <definedName name="Monat.P8UeVM" localSheetId="3">March!$AN$104</definedName>
    <definedName name="Monat.P8UeVM" localSheetId="5">May!$AN$104</definedName>
    <definedName name="Monat.P8UeVM" localSheetId="11">November!$AM$104</definedName>
    <definedName name="Monat.P8UeVM" localSheetId="10">October!$AN$104</definedName>
    <definedName name="Monat.P8UeVM" localSheetId="9">September!$AM$104</definedName>
    <definedName name="Monat.P9UeVM" localSheetId="4">April!$AM$105</definedName>
    <definedName name="Monat.P9UeVM" localSheetId="8">August!$AN$105</definedName>
    <definedName name="Monat.P9UeVM" localSheetId="12">December!$AN$105</definedName>
    <definedName name="Monat.P9UeVM" localSheetId="2">February!$AL$105</definedName>
    <definedName name="Monat.P9UeVM" localSheetId="1">January!$AN$105</definedName>
    <definedName name="Monat.P9UeVM" localSheetId="7">July!$AN$105</definedName>
    <definedName name="Monat.P9UeVM" localSheetId="6">June!$AM$105</definedName>
    <definedName name="Monat.P9UeVM" localSheetId="3">March!$AN$105</definedName>
    <definedName name="Monat.P9UeVM" localSheetId="5">May!$AN$105</definedName>
    <definedName name="Monat.P9UeVM" localSheetId="11">November!$AM$105</definedName>
    <definedName name="Monat.P9UeVM" localSheetId="10">October!$AN$105</definedName>
    <definedName name="Monat.P9UeVM" localSheetId="9">September!$AM$105</definedName>
    <definedName name="Monat.PDiffUeVM" localSheetId="4">April!$AM$114</definedName>
    <definedName name="Monat.PDiffUeVM" localSheetId="8">August!$AN$114</definedName>
    <definedName name="Monat.PDiffUeVM" localSheetId="12">December!$AN$114</definedName>
    <definedName name="Monat.PDiffUeVM" localSheetId="2">February!$AL$114</definedName>
    <definedName name="Monat.PDiffUeVM" localSheetId="1">January!$AN$114</definedName>
    <definedName name="Monat.PDiffUeVM" localSheetId="7">July!$AN$114</definedName>
    <definedName name="Monat.PDiffUeVM" localSheetId="6">June!$AM$114</definedName>
    <definedName name="Monat.PDiffUeVM" localSheetId="3">March!$AN$114</definedName>
    <definedName name="Monat.PDiffUeVM" localSheetId="5">May!$AN$114</definedName>
    <definedName name="Monat.PDiffUeVM" localSheetId="11">November!$AM$114</definedName>
    <definedName name="Monat.PDiffUeVM" localSheetId="10">October!$AN$114</definedName>
    <definedName name="Monat.PDiffUeVM" localSheetId="9">September!$AM$114</definedName>
    <definedName name="Monat.Pikett" localSheetId="4">April!$AF$34</definedName>
    <definedName name="Monat.Pikett" localSheetId="8">August!$AG$34</definedName>
    <definedName name="Monat.Pikett" localSheetId="12">December!$AG$34</definedName>
    <definedName name="Monat.Pikett" localSheetId="2">February!$AE$34</definedName>
    <definedName name="Monat.Pikett" localSheetId="1">January!$AG$34</definedName>
    <definedName name="Monat.Pikett" localSheetId="7">July!$AG$34</definedName>
    <definedName name="Monat.Pikett" localSheetId="6">June!$AF$34</definedName>
    <definedName name="Monat.Pikett" localSheetId="3">March!$AG$34</definedName>
    <definedName name="Monat.Pikett" localSheetId="5">May!$AG$34</definedName>
    <definedName name="Monat.Pikett" localSheetId="11">November!$AF$34</definedName>
    <definedName name="Monat.Pikett" localSheetId="10">October!$AG$34</definedName>
    <definedName name="Monat.Pikett" localSheetId="9">September!$AF$34</definedName>
    <definedName name="Monat.Pikett.Zähler" localSheetId="4">April!$AI$34</definedName>
    <definedName name="Monat.Pikett.Zähler" localSheetId="8">August!$AJ$34</definedName>
    <definedName name="Monat.Pikett.Zähler" localSheetId="12">December!$AJ$34</definedName>
    <definedName name="Monat.Pikett.Zähler" localSheetId="2">February!$AH$34</definedName>
    <definedName name="Monat.Pikett.Zähler" localSheetId="1">January!$AJ$34</definedName>
    <definedName name="Monat.Pikett.Zähler" localSheetId="7">July!$AJ$34</definedName>
    <definedName name="Monat.Pikett.Zähler" localSheetId="6">June!$AI$34</definedName>
    <definedName name="Monat.Pikett.Zähler" localSheetId="3">March!$AJ$34</definedName>
    <definedName name="Monat.Pikett.Zähler" localSheetId="5">May!$AJ$34</definedName>
    <definedName name="Monat.Pikett.Zähler" localSheetId="11">November!$AI$34</definedName>
    <definedName name="Monat.Pikett.Zähler" localSheetId="10">October!$AJ$34</definedName>
    <definedName name="Monat.Pikett.Zähler" localSheetId="9">September!$AI$34</definedName>
    <definedName name="Monat.PikettgesternTag1" localSheetId="4">April!$B$48</definedName>
    <definedName name="Monat.PikettgesternTag1" localSheetId="8">August!$B$48</definedName>
    <definedName name="Monat.PikettgesternTag1" localSheetId="12">December!$B$48</definedName>
    <definedName name="Monat.PikettgesternTag1" localSheetId="2">February!$B$48</definedName>
    <definedName name="Monat.PikettgesternTag1" localSheetId="1">January!$B$48</definedName>
    <definedName name="Monat.PikettgesternTag1" localSheetId="7">July!$B$48</definedName>
    <definedName name="Monat.PikettgesternTag1" localSheetId="6">June!$B$48</definedName>
    <definedName name="Monat.PikettgesternTag1" localSheetId="3">March!$B$48</definedName>
    <definedName name="Monat.PikettgesternTag1" localSheetId="5">May!$B$48</definedName>
    <definedName name="Monat.PikettgesternTag1" localSheetId="11">November!$B$48</definedName>
    <definedName name="Monat.PikettgesternTag1" localSheetId="10">October!$B$48</definedName>
    <definedName name="Monat.PikettgesternTag1" localSheetId="9">September!$B$48</definedName>
    <definedName name="Monat.PikettText" localSheetId="4">April!$A$34</definedName>
    <definedName name="Monat.PikettText" localSheetId="8">August!$A$34</definedName>
    <definedName name="Monat.PikettText" localSheetId="12">December!$A$34</definedName>
    <definedName name="Monat.PikettText" localSheetId="2">February!$A$34</definedName>
    <definedName name="Monat.PikettText" localSheetId="1">January!$A$34</definedName>
    <definedName name="Monat.PikettText" localSheetId="7">July!$A$34</definedName>
    <definedName name="Monat.PikettText" localSheetId="6">June!$A$34</definedName>
    <definedName name="Monat.PikettText" localSheetId="3">March!$A$34</definedName>
    <definedName name="Monat.PikettText" localSheetId="5">May!$A$34</definedName>
    <definedName name="Monat.PikettText" localSheetId="11">November!$A$34</definedName>
    <definedName name="Monat.PikettText" localSheetId="10">October!$A$34</definedName>
    <definedName name="Monat.PikettText" localSheetId="9">September!$A$34</definedName>
    <definedName name="Monat.Projekte.Zeilen" localSheetId="4">April!$A$97:$A$111</definedName>
    <definedName name="Monat.Projekte.Zeilen" localSheetId="8">August!$A$97:$A$111</definedName>
    <definedName name="Monat.Projekte.Zeilen" localSheetId="12">December!$A$97:$A$111</definedName>
    <definedName name="Monat.Projekte.Zeilen" localSheetId="2">February!$A$97:$A$111</definedName>
    <definedName name="Monat.Projekte.Zeilen" localSheetId="1">January!$A$97:$A$111</definedName>
    <definedName name="Monat.Projekte.Zeilen" localSheetId="7">July!$A$97:$A$111</definedName>
    <definedName name="Monat.Projekte.Zeilen" localSheetId="6">June!$A$97:$A$111</definedName>
    <definedName name="Monat.Projekte.Zeilen" localSheetId="3">March!$A$97:$A$111</definedName>
    <definedName name="Monat.Projekte.Zeilen" localSheetId="5">May!$A$97:$A$111</definedName>
    <definedName name="Monat.Projekte.Zeilen" localSheetId="11">November!$A$97:$A$111</definedName>
    <definedName name="Monat.Projekte.Zeilen" localSheetId="10">October!$A$97:$A$111</definedName>
    <definedName name="Monat.Projekte.Zeilen" localSheetId="9">September!$A$97:$A$111</definedName>
    <definedName name="Monat.ProjekteTotal.Bereich" localSheetId="4">April!$AH$97:$AH$111</definedName>
    <definedName name="Monat.ProjekteTotal.Bereich" localSheetId="8">August!$AI$97:$AI$111</definedName>
    <definedName name="Monat.ProjekteTotal.Bereich" localSheetId="12">December!$AI$97:$AI$111</definedName>
    <definedName name="Monat.ProjekteTotal.Bereich" localSheetId="2">February!$AG$97:$AG$111</definedName>
    <definedName name="Monat.ProjekteTotal.Bereich" localSheetId="1">January!$AI$97:$AI$111</definedName>
    <definedName name="Monat.ProjekteTotal.Bereich" localSheetId="7">July!$AI$97:$AI$111</definedName>
    <definedName name="Monat.ProjekteTotal.Bereich" localSheetId="6">June!$AH$97:$AH$111</definedName>
    <definedName name="Monat.ProjekteTotal.Bereich" localSheetId="3">March!$AI$97:$AI$111</definedName>
    <definedName name="Monat.ProjekteTotal.Bereich" localSheetId="5">May!$AI$97:$AI$111</definedName>
    <definedName name="Monat.ProjekteTotal.Bereich" localSheetId="11">November!$AH$97:$AH$111</definedName>
    <definedName name="Monat.ProjekteTotal.Bereich" localSheetId="10">October!$AI$97:$AI$111</definedName>
    <definedName name="Monat.ProjekteTotal.Bereich" localSheetId="9">September!$AH$97:$AH$111</definedName>
    <definedName name="Monat.PTotalUeVM" localSheetId="4">April!$AM$112</definedName>
    <definedName name="Monat.PTotalUeVM" localSheetId="8">August!$AN$112</definedName>
    <definedName name="Monat.PTotalUeVM" localSheetId="12">December!$AN$112</definedName>
    <definedName name="Monat.PTotalUeVM" localSheetId="2">February!$AL$112</definedName>
    <definedName name="Monat.PTotalUeVM" localSheetId="1">January!$AN$112</definedName>
    <definedName name="Monat.PTotalUeVM" localSheetId="7">July!$AN$112</definedName>
    <definedName name="Monat.PTotalUeVM" localSheetId="6">June!$AM$112</definedName>
    <definedName name="Monat.PTotalUeVM" localSheetId="3">March!$AN$112</definedName>
    <definedName name="Monat.PTotalUeVM" localSheetId="5">May!$AN$112</definedName>
    <definedName name="Monat.PTotalUeVM" localSheetId="11">November!$AM$112</definedName>
    <definedName name="Monat.PTotalUeVM" localSheetId="10">October!$AN$112</definedName>
    <definedName name="Monat.PTotalUeVM" localSheetId="9">September!$AM$112</definedName>
    <definedName name="Monat.RAZ1_7.Bereich" localSheetId="4">April!$P$7:$V$7</definedName>
    <definedName name="Monat.RAZ1_7.Bereich" localSheetId="8">August!$P$7:$V$7</definedName>
    <definedName name="Monat.RAZ1_7.Bereich" localSheetId="12">December!$P$7:$V$7</definedName>
    <definedName name="Monat.RAZ1_7.Bereich" localSheetId="2">February!$P$7:$V$7</definedName>
    <definedName name="Monat.RAZ1_7.Bereich" localSheetId="1">January!$P$7:$V$7</definedName>
    <definedName name="Monat.RAZ1_7.Bereich" localSheetId="7">July!$P$7:$V$7</definedName>
    <definedName name="Monat.RAZ1_7.Bereich" localSheetId="6">June!$P$7:$V$7</definedName>
    <definedName name="Monat.RAZ1_7.Bereich" localSheetId="3">March!$P$7:$V$7</definedName>
    <definedName name="Monat.RAZ1_7.Bereich" localSheetId="5">May!$P$7:$V$7</definedName>
    <definedName name="Monat.RAZ1_7.Bereich" localSheetId="11">November!$P$7:$V$7</definedName>
    <definedName name="Monat.RAZ1_7.Bereich" localSheetId="10">October!$P$7:$V$7</definedName>
    <definedName name="Monat.RAZ1_7.Bereich" localSheetId="9">September!$P$7:$V$7</definedName>
    <definedName name="Monat.SD.Total" localSheetId="4">April!$AH$82</definedName>
    <definedName name="Monat.SD.Total" localSheetId="8">August!$AI$82</definedName>
    <definedName name="Monat.SD.Total" localSheetId="12">December!$AI$82</definedName>
    <definedName name="Monat.SD.Total" localSheetId="2">February!$AG$82</definedName>
    <definedName name="Monat.SD.Total" localSheetId="1">January!$AI$82</definedName>
    <definedName name="Monat.SD.Total" localSheetId="7">July!$AI$82</definedName>
    <definedName name="Monat.SD.Total" localSheetId="6">June!$AH$82</definedName>
    <definedName name="Monat.SD.Total" localSheetId="3">March!$AI$82</definedName>
    <definedName name="Monat.SD.Total" localSheetId="5">May!$AI$82</definedName>
    <definedName name="Monat.SD.Total" localSheetId="11">November!$AH$82</definedName>
    <definedName name="Monat.SD.Total" localSheetId="10">October!$AI$82</definedName>
    <definedName name="Monat.SD.Total" localSheetId="9">September!$AH$82</definedName>
    <definedName name="Monat.SDText" localSheetId="4">April!$A$82</definedName>
    <definedName name="Monat.SDText" localSheetId="8">August!$A$82</definedName>
    <definedName name="Monat.SDText" localSheetId="12">December!$A$82</definedName>
    <definedName name="Monat.SDText" localSheetId="2">February!$A$82</definedName>
    <definedName name="Monat.SDText" localSheetId="1">January!$A$82</definedName>
    <definedName name="Monat.SDText" localSheetId="7">July!$A$82</definedName>
    <definedName name="Monat.SDText" localSheetId="6">June!$A$82</definedName>
    <definedName name="Monat.SDText" localSheetId="3">March!$A$82</definedName>
    <definedName name="Monat.SDText" localSheetId="5">May!$A$82</definedName>
    <definedName name="Monat.SDText" localSheetId="11">November!$A$82</definedName>
    <definedName name="Monat.SDText" localSheetId="10">October!$A$82</definedName>
    <definedName name="Monat.SDText" localSheetId="9">September!$A$82</definedName>
    <definedName name="Monat.SDUeVM" localSheetId="4">April!$AM$82</definedName>
    <definedName name="Monat.SDUeVM" localSheetId="8">August!$AN$82</definedName>
    <definedName name="Monat.SDUeVM" localSheetId="12">December!$AN$82</definedName>
    <definedName name="Monat.SDUeVM" localSheetId="2">February!$AL$82</definedName>
    <definedName name="Monat.SDUeVM" localSheetId="1">January!$AN$82</definedName>
    <definedName name="Monat.SDUeVM" localSheetId="7">July!$AN$82</definedName>
    <definedName name="Monat.SDUeVM" localSheetId="6">June!$AM$82</definedName>
    <definedName name="Monat.SDUeVM" localSheetId="3">March!$AN$82</definedName>
    <definedName name="Monat.SDUeVM" localSheetId="5">May!$AN$82</definedName>
    <definedName name="Monat.SDUeVM" localSheetId="11">November!$AM$82</definedName>
    <definedName name="Monat.SDUeVM" localSheetId="10">October!$AN$82</definedName>
    <definedName name="Monat.SDUeVM" localSheetId="9">September!$AM$82</definedName>
    <definedName name="Monat.Soll_Ist_UeVM" localSheetId="4">April!$AM$55</definedName>
    <definedName name="Monat.Soll_Ist_UeVM" localSheetId="8">August!$AN$55</definedName>
    <definedName name="Monat.Soll_Ist_UeVM" localSheetId="12">December!$AN$55</definedName>
    <definedName name="Monat.Soll_Ist_UeVM" localSheetId="2">February!$AL$55</definedName>
    <definedName name="Monat.Soll_Ist_UeVM" localSheetId="1">January!$AN$55</definedName>
    <definedName name="Monat.Soll_Ist_UeVM" localSheetId="7">July!$AN$55</definedName>
    <definedName name="Monat.Soll_Ist_UeVM" localSheetId="6">June!$AM$55</definedName>
    <definedName name="Monat.Soll_Ist_UeVM" localSheetId="3">March!$AN$55</definedName>
    <definedName name="Monat.Soll_Ist_UeVM" localSheetId="5">May!$AN$55</definedName>
    <definedName name="Monat.Soll_Ist_UeVM" localSheetId="11">November!$AM$55</definedName>
    <definedName name="Monat.Soll_Ist_UeVM" localSheetId="10">October!$AN$55</definedName>
    <definedName name="Monat.Soll_Ist_UeVM" localSheetId="9">September!$AM$55</definedName>
    <definedName name="Monat.Tag1" localSheetId="4">April!$B$10</definedName>
    <definedName name="Monat.Tag1" localSheetId="8">August!$B$10</definedName>
    <definedName name="Monat.Tag1" localSheetId="12">December!$B$10</definedName>
    <definedName name="Monat.Tag1" localSheetId="2">February!$B$10</definedName>
    <definedName name="Monat.Tag1" localSheetId="1">January!$B$10</definedName>
    <definedName name="Monat.Tag1" localSheetId="7">July!$B$10</definedName>
    <definedName name="Monat.Tag1" localSheetId="6">June!$B$10</definedName>
    <definedName name="Monat.Tag1" localSheetId="3">March!$B$10</definedName>
    <definedName name="Monat.Tag1" localSheetId="5">May!$B$10</definedName>
    <definedName name="Monat.Tag1" localSheetId="11">November!$B$10</definedName>
    <definedName name="Monat.Tag1" localSheetId="10">October!$B$10</definedName>
    <definedName name="Monat.Tag1" localSheetId="9">September!$B$10</definedName>
    <definedName name="Monat.Tage.Knoten" localSheetId="4">April!$B$9</definedName>
    <definedName name="Monat.Tage.Knoten" localSheetId="8">August!$B$9</definedName>
    <definedName name="Monat.Tage.Knoten" localSheetId="12">December!$B$9</definedName>
    <definedName name="Monat.Tage.Knoten" localSheetId="2">February!$B$9</definedName>
    <definedName name="Monat.Tage.Knoten" localSheetId="1">January!$B$9</definedName>
    <definedName name="Monat.Tage.Knoten" localSheetId="7">July!$B$9</definedName>
    <definedName name="Monat.Tage.Knoten" localSheetId="6">June!$B$9</definedName>
    <definedName name="Monat.Tage.Knoten" localSheetId="3">March!$B$9</definedName>
    <definedName name="Monat.Tage.Knoten" localSheetId="5">May!$B$9</definedName>
    <definedName name="Monat.Tage.Knoten" localSheetId="11">November!$B$9</definedName>
    <definedName name="Monat.Tage.Knoten" localSheetId="10">October!$B$9</definedName>
    <definedName name="Monat.Tage.Knoten" localSheetId="9">September!$B$9</definedName>
    <definedName name="Monat.UeZ.Saldo" localSheetId="4">April!$AH$62</definedName>
    <definedName name="Monat.UeZ.Saldo" localSheetId="8">August!$AI$62</definedName>
    <definedName name="Monat.UeZ.Saldo" localSheetId="12">December!$AI$62</definedName>
    <definedName name="Monat.UeZ.Saldo" localSheetId="2">February!$AG$62</definedName>
    <definedName name="Monat.UeZ.Saldo" localSheetId="1">January!$AI$62</definedName>
    <definedName name="Monat.UeZ.Saldo" localSheetId="7">July!$AI$62</definedName>
    <definedName name="Monat.UeZ.Saldo" localSheetId="6">June!$AH$62</definedName>
    <definedName name="Monat.UeZ.Saldo" localSheetId="3">March!$AI$62</definedName>
    <definedName name="Monat.UeZ.Saldo" localSheetId="5">May!$AI$62</definedName>
    <definedName name="Monat.UeZ.Saldo" localSheetId="11">November!$AH$62</definedName>
    <definedName name="Monat.UeZ.Saldo" localSheetId="10">October!$AI$62</definedName>
    <definedName name="Monat.UeZ.Saldo" localSheetId="9">September!$AH$62</definedName>
    <definedName name="Monat.UeZ.Total" localSheetId="4">April!$AH$65</definedName>
    <definedName name="Monat.UeZ.Total" localSheetId="8">August!$AI$65</definedName>
    <definedName name="Monat.UeZ.Total" localSheetId="12">December!$AI$65</definedName>
    <definedName name="Monat.UeZ.Total" localSheetId="2">February!$AG$65</definedName>
    <definedName name="Monat.UeZ.Total" localSheetId="1">January!$AI$65</definedName>
    <definedName name="Monat.UeZ.Total" localSheetId="7">July!$AI$65</definedName>
    <definedName name="Monat.UeZ.Total" localSheetId="6">June!$AH$65</definedName>
    <definedName name="Monat.UeZ.Total" localSheetId="3">March!$AI$65</definedName>
    <definedName name="Monat.UeZ.Total" localSheetId="5">May!$AI$65</definedName>
    <definedName name="Monat.UeZ.Total" localSheetId="11">November!$AH$65</definedName>
    <definedName name="Monat.UeZ.Total" localSheetId="10">October!$AI$65</definedName>
    <definedName name="Monat.UeZ.Total" localSheetId="9">September!$AH$65</definedName>
    <definedName name="Monat.UeziZSText" localSheetId="4">April!$AF$65</definedName>
    <definedName name="Monat.UeziZSText" localSheetId="8">August!$AG$65</definedName>
    <definedName name="Monat.UeziZSText" localSheetId="12">December!$AG$65</definedName>
    <definedName name="Monat.UeziZSText" localSheetId="2">February!$AE$65</definedName>
    <definedName name="Monat.UeziZSText" localSheetId="1">January!$AG$65</definedName>
    <definedName name="Monat.UeziZSText" localSheetId="7">July!$AG$65</definedName>
    <definedName name="Monat.UeziZSText" localSheetId="6">June!$AF$65</definedName>
    <definedName name="Monat.UeziZSText" localSheetId="3">March!$AG$65</definedName>
    <definedName name="Monat.UeziZSText" localSheetId="5">May!$AG$65</definedName>
    <definedName name="Monat.UeziZSText" localSheetId="11">November!$AF$65</definedName>
    <definedName name="Monat.UeziZSText" localSheetId="10">October!$AG$65</definedName>
    <definedName name="Monat.UeziZSText" localSheetId="9">September!$AF$65</definedName>
    <definedName name="Monat.UeZSaldoText" localSheetId="4">April!$AF$62</definedName>
    <definedName name="Monat.UeZSaldoText" localSheetId="8">August!$AG$62</definedName>
    <definedName name="Monat.UeZSaldoText" localSheetId="12">December!$AG$62</definedName>
    <definedName name="Monat.UeZSaldoText" localSheetId="2">February!$AE$62</definedName>
    <definedName name="Monat.UeZSaldoText" localSheetId="1">January!$AG$62</definedName>
    <definedName name="Monat.UeZSaldoText" localSheetId="7">July!$AG$62</definedName>
    <definedName name="Monat.UeZSaldoText" localSheetId="6">June!$AF$62</definedName>
    <definedName name="Monat.UeZSaldoText" localSheetId="3">March!$AG$62</definedName>
    <definedName name="Monat.UeZSaldoText" localSheetId="5">May!$AG$62</definedName>
    <definedName name="Monat.UeZSaldoText" localSheetId="11">November!$AF$62</definedName>
    <definedName name="Monat.UeZSaldoText" localSheetId="10">October!$AG$62</definedName>
    <definedName name="Monat.UeZSaldoText" localSheetId="9">September!$AF$62</definedName>
    <definedName name="Monat.UeZUeVM" localSheetId="4">April!$AM$65</definedName>
    <definedName name="Monat.UeZUeVM" localSheetId="8">August!$AN$65</definedName>
    <definedName name="Monat.UeZUeVM" localSheetId="12">December!$AN$65</definedName>
    <definedName name="Monat.UeZUeVM" localSheetId="2">February!$AL$65</definedName>
    <definedName name="Monat.UeZUeVM" localSheetId="1">January!$AN$65</definedName>
    <definedName name="Monat.UeZUeVM" localSheetId="7">July!$AN$65</definedName>
    <definedName name="Monat.UeZUeVM" localSheetId="6">June!$AM$65</definedName>
    <definedName name="Monat.UeZUeVM" localSheetId="3">March!$AN$65</definedName>
    <definedName name="Monat.UeZUeVM" localSheetId="5">May!$AN$65</definedName>
    <definedName name="Monat.UeZUeVM" localSheetId="11">November!$AM$65</definedName>
    <definedName name="Monat.UeZUeVM" localSheetId="10">October!$AN$65</definedName>
    <definedName name="Monat.UeZUeVM" localSheetId="9">September!$AM$65</definedName>
    <definedName name="Monat.UnbesU.Total" localSheetId="4">April!$AH$93</definedName>
    <definedName name="Monat.UnbesU.Total" localSheetId="8">August!$AI$93</definedName>
    <definedName name="Monat.UnbesU.Total" localSheetId="12">December!$AI$93</definedName>
    <definedName name="Monat.UnbesU.Total" localSheetId="2">February!$AG$93</definedName>
    <definedName name="Monat.UnbesU.Total" localSheetId="1">January!$AI$93</definedName>
    <definedName name="Monat.UnbesU.Total" localSheetId="7">July!$AI$93</definedName>
    <definedName name="Monat.UnbesU.Total" localSheetId="6">June!$AH$93</definedName>
    <definedName name="Monat.UnbesU.Total" localSheetId="3">March!$AI$93</definedName>
    <definedName name="Monat.UnbesU.Total" localSheetId="5">May!$AI$93</definedName>
    <definedName name="Monat.UnbesU.Total" localSheetId="11">November!$AH$93</definedName>
    <definedName name="Monat.UnbesU.Total" localSheetId="10">October!$AI$93</definedName>
    <definedName name="Monat.UnbesU.Total" localSheetId="9">September!$AH$93</definedName>
    <definedName name="Monat.UnbesUrlaubText" localSheetId="4">April!$A$93</definedName>
    <definedName name="Monat.UnbesUrlaubText" localSheetId="8">August!$A$93</definedName>
    <definedName name="Monat.UnbesUrlaubText" localSheetId="12">December!$A$93</definedName>
    <definedName name="Monat.UnbesUrlaubText" localSheetId="2">February!$A$93</definedName>
    <definedName name="Monat.UnbesUrlaubText" localSheetId="1">January!$A$93</definedName>
    <definedName name="Monat.UnbesUrlaubText" localSheetId="7">July!$A$93</definedName>
    <definedName name="Monat.UnbesUrlaubText" localSheetId="6">June!$A$93</definedName>
    <definedName name="Monat.UnbesUrlaubText" localSheetId="3">March!$A$93</definedName>
    <definedName name="Monat.UnbesUrlaubText" localSheetId="5">May!$A$93</definedName>
    <definedName name="Monat.UnbesUrlaubText" localSheetId="11">November!$A$93</definedName>
    <definedName name="Monat.UnbesUrlaubText" localSheetId="10">October!$A$93</definedName>
    <definedName name="Monat.UnbesUrlaubText" localSheetId="9">September!$A$93</definedName>
    <definedName name="Monat.UnbesUrlaubUeVM" localSheetId="4">April!$AM$93</definedName>
    <definedName name="Monat.UnbesUrlaubUeVM" localSheetId="8">August!$AN$93</definedName>
    <definedName name="Monat.UnbesUrlaubUeVM" localSheetId="12">December!$AN$93</definedName>
    <definedName name="Monat.UnbesUrlaubUeVM" localSheetId="2">February!$AL$93</definedName>
    <definedName name="Monat.UnbesUrlaubUeVM" localSheetId="1">January!$AN$93</definedName>
    <definedName name="Monat.UnbesUrlaubUeVM" localSheetId="7">July!$AN$93</definedName>
    <definedName name="Monat.UnbesUrlaubUeVM" localSheetId="6">June!$AM$93</definedName>
    <definedName name="Monat.UnbesUrlaubUeVM" localSheetId="3">March!$AN$93</definedName>
    <definedName name="Monat.UnbesUrlaubUeVM" localSheetId="5">May!$AN$93</definedName>
    <definedName name="Monat.UnbesUrlaubUeVM" localSheetId="11">November!$AM$93</definedName>
    <definedName name="Monat.UnbesUrlaubUeVM" localSheetId="10">October!$AN$93</definedName>
    <definedName name="Monat.UnbesUrlaubUeVM" localSheetId="9">September!$AM$93</definedName>
    <definedName name="Monat.ÜZZSBerechtigt" localSheetId="4">April!$V$4</definedName>
    <definedName name="Monat.ÜZZSBerechtigt" localSheetId="8">August!$V$4</definedName>
    <definedName name="Monat.ÜZZSBerechtigt" localSheetId="12">December!$V$4</definedName>
    <definedName name="Monat.ÜZZSBerechtigt" localSheetId="2">February!$V$4</definedName>
    <definedName name="Monat.ÜZZSBerechtigt" localSheetId="1">January!$V$4</definedName>
    <definedName name="Monat.ÜZZSBerechtigt" localSheetId="7">July!$V$4</definedName>
    <definedName name="Monat.ÜZZSBerechtigt" localSheetId="6">June!$V$4</definedName>
    <definedName name="Monat.ÜZZSBerechtigt" localSheetId="3">March!$V$4</definedName>
    <definedName name="Monat.ÜZZSBerechtigt" localSheetId="5">May!$V$4</definedName>
    <definedName name="Monat.ÜZZSBerechtigt" localSheetId="11">November!$V$4</definedName>
    <definedName name="Monat.ÜZZSBerechtigt" localSheetId="10">October!$V$4</definedName>
    <definedName name="Monat.ÜZZSBerechtigt" localSheetId="9">September!$V$4</definedName>
    <definedName name="Monat.WB.Total" localSheetId="4">April!$AH$91</definedName>
    <definedName name="Monat.WB.Total" localSheetId="8">August!$AI$91</definedName>
    <definedName name="Monat.WB.Total" localSheetId="12">December!$AI$91</definedName>
    <definedName name="Monat.WB.Total" localSheetId="2">February!$AG$91</definedName>
    <definedName name="Monat.WB.Total" localSheetId="1">January!$AI$91</definedName>
    <definedName name="Monat.WB.Total" localSheetId="7">July!$AI$91</definedName>
    <definedName name="Monat.WB.Total" localSheetId="6">June!$AH$91</definedName>
    <definedName name="Monat.WB.Total" localSheetId="3">March!$AI$91</definedName>
    <definedName name="Monat.WB.Total" localSheetId="5">May!$AI$91</definedName>
    <definedName name="Monat.WB.Total" localSheetId="11">November!$AH$91</definedName>
    <definedName name="Monat.WB.Total" localSheetId="10">October!$AI$91</definedName>
    <definedName name="Monat.WB.Total" localSheetId="9">September!$AH$91</definedName>
    <definedName name="Monat.WBText" localSheetId="4">April!$A$91</definedName>
    <definedName name="Monat.WBText" localSheetId="8">August!$A$91</definedName>
    <definedName name="Monat.WBText" localSheetId="12">December!$A$91</definedName>
    <definedName name="Monat.WBText" localSheetId="2">February!$A$91</definedName>
    <definedName name="Monat.WBText" localSheetId="1">January!$A$91</definedName>
    <definedName name="Monat.WBText" localSheetId="7">July!$A$91</definedName>
    <definedName name="Monat.WBText" localSheetId="6">June!$A$91</definedName>
    <definedName name="Monat.WBText" localSheetId="3">March!$A$91</definedName>
    <definedName name="Monat.WBText" localSheetId="5">May!$A$91</definedName>
    <definedName name="Monat.WBText" localSheetId="11">November!$A$91</definedName>
    <definedName name="Monat.WBText" localSheetId="10">October!$A$91</definedName>
    <definedName name="Monat.WBText" localSheetId="9">September!$A$91</definedName>
    <definedName name="Monat.WBUeVM" localSheetId="4">April!$AM$91</definedName>
    <definedName name="Monat.WBUeVM" localSheetId="8">August!$AN$91</definedName>
    <definedName name="Monat.WBUeVM" localSheetId="12">December!$AN$91</definedName>
    <definedName name="Monat.WBUeVM" localSheetId="2">February!$AL$91</definedName>
    <definedName name="Monat.WBUeVM" localSheetId="1">January!$AN$91</definedName>
    <definedName name="Monat.WBUeVM" localSheetId="7">July!$AN$91</definedName>
    <definedName name="Monat.WBUeVM" localSheetId="6">June!$AM$91</definedName>
    <definedName name="Monat.WBUeVM" localSheetId="3">March!$AN$91</definedName>
    <definedName name="Monat.WBUeVM" localSheetId="5">May!$AN$91</definedName>
    <definedName name="Monat.WBUeVM" localSheetId="11">November!$AM$91</definedName>
    <definedName name="Monat.WBUeVM" localSheetId="10">October!$AN$91</definedName>
    <definedName name="Monat.WBUeVM" localSheetId="9">September!$AM$91</definedName>
    <definedName name="Monat.Wochentage.Bereich" localSheetId="4">April!$P$6:$V$6</definedName>
    <definedName name="Monat.Wochentage.Bereich" localSheetId="8">August!$P$6:$V$6</definedName>
    <definedName name="Monat.Wochentage.Bereich" localSheetId="12">December!$P$6:$V$6</definedName>
    <definedName name="Monat.Wochentage.Bereich" localSheetId="2">February!$P$6:$V$6</definedName>
    <definedName name="Monat.Wochentage.Bereich" localSheetId="1">January!$P$6:$V$6</definedName>
    <definedName name="Monat.Wochentage.Bereich" localSheetId="7">July!$P$6:$V$6</definedName>
    <definedName name="Monat.Wochentage.Bereich" localSheetId="6">June!$P$6:$V$6</definedName>
    <definedName name="Monat.Wochentage.Bereich" localSheetId="3">March!$P$6:$V$6</definedName>
    <definedName name="Monat.Wochentage.Bereich" localSheetId="5">May!$P$6:$V$6</definedName>
    <definedName name="Monat.Wochentage.Bereich" localSheetId="11">November!$P$6:$V$6</definedName>
    <definedName name="Monat.Wochentage.Bereich" localSheetId="10">October!$P$6:$V$6</definedName>
    <definedName name="Monat.Wochentage.Bereich" localSheetId="9">September!$P$6:$V$6</definedName>
    <definedName name="Monat.ZählerND.Total" localSheetId="4">April!$AH$69</definedName>
    <definedName name="Monat.ZählerND.Total" localSheetId="8">August!$AI$69</definedName>
    <definedName name="Monat.ZählerND.Total" localSheetId="12">December!$AI$69</definedName>
    <definedName name="Monat.ZählerND.Total" localSheetId="2">February!$AG$69</definedName>
    <definedName name="Monat.ZählerND.Total" localSheetId="1">January!$AI$69</definedName>
    <definedName name="Monat.ZählerND.Total" localSheetId="7">July!$AI$69</definedName>
    <definedName name="Monat.ZählerND.Total" localSheetId="6">June!$AH$69</definedName>
    <definedName name="Monat.ZählerND.Total" localSheetId="3">March!$AI$69</definedName>
    <definedName name="Monat.ZählerND.Total" localSheetId="5">May!$AI$69</definedName>
    <definedName name="Monat.ZählerND.Total" localSheetId="11">November!$AH$69</definedName>
    <definedName name="Monat.ZählerND.Total" localSheetId="10">October!$AI$69</definedName>
    <definedName name="Monat.ZählerND.Total" localSheetId="9">September!$AH$69</definedName>
    <definedName name="Monat.ZählerNDText" localSheetId="4">April!$A$69</definedName>
    <definedName name="Monat.ZählerNDText" localSheetId="8">August!$A$69</definedName>
    <definedName name="Monat.ZählerNDText" localSheetId="12">December!$A$69</definedName>
    <definedName name="Monat.ZählerNDText" localSheetId="2">February!$A$69</definedName>
    <definedName name="Monat.ZählerNDText" localSheetId="1">January!$A$69</definedName>
    <definedName name="Monat.ZählerNDText" localSheetId="7">July!$A$69</definedName>
    <definedName name="Monat.ZählerNDText" localSheetId="6">June!$A$69</definedName>
    <definedName name="Monat.ZählerNDText" localSheetId="3">March!$A$69</definedName>
    <definedName name="Monat.ZählerNDText" localSheetId="5">May!$A$69</definedName>
    <definedName name="Monat.ZählerNDText" localSheetId="11">November!$A$69</definedName>
    <definedName name="Monat.ZählerNDText" localSheetId="10">October!$A$69</definedName>
    <definedName name="Monat.ZählerNDText" localSheetId="9">September!$A$69</definedName>
    <definedName name="Monat.ZählerNDUe" localSheetId="4">April!$AM$69</definedName>
    <definedName name="Monat.ZählerNDUe" localSheetId="8">August!$AN$69</definedName>
    <definedName name="Monat.ZählerNDUe" localSheetId="12">December!$AN$69</definedName>
    <definedName name="Monat.ZählerNDUe" localSheetId="2">February!$AL$69</definedName>
    <definedName name="Monat.ZählerNDUe" localSheetId="1">January!$AN$69</definedName>
    <definedName name="Monat.ZählerNDUe" localSheetId="7">July!$AN$69</definedName>
    <definedName name="Monat.ZählerNDUe" localSheetId="6">June!$AM$69</definedName>
    <definedName name="Monat.ZählerNDUe" localSheetId="3">March!$AN$69</definedName>
    <definedName name="Monat.ZählerNDUe" localSheetId="5">May!$AN$69</definedName>
    <definedName name="Monat.ZählerNDUe" localSheetId="11">November!$AM$69</definedName>
    <definedName name="Monat.ZählerNDUe" localSheetId="10">October!$AN$69</definedName>
    <definedName name="Monat.ZählerNDUe" localSheetId="9">September!$AM$69</definedName>
    <definedName name="Monat.ZS.Total" localSheetId="4">April!$AH$63</definedName>
    <definedName name="Monat.ZS.Total" localSheetId="8">August!$AI$63</definedName>
    <definedName name="Monat.ZS.Total" localSheetId="12">December!$AI$63</definedName>
    <definedName name="Monat.ZS.Total" localSheetId="2">February!$AG$63</definedName>
    <definedName name="Monat.ZS.Total" localSheetId="1">January!$AI$63</definedName>
    <definedName name="Monat.ZS.Total" localSheetId="7">July!$AI$63</definedName>
    <definedName name="Monat.ZS.Total" localSheetId="6">June!$AH$63</definedName>
    <definedName name="Monat.ZS.Total" localSheetId="3">March!$AI$63</definedName>
    <definedName name="Monat.ZS.Total" localSheetId="5">May!$AI$63</definedName>
    <definedName name="Monat.ZS.Total" localSheetId="11">November!$AH$63</definedName>
    <definedName name="Monat.ZS.Total" localSheetId="10">October!$AI$63</definedName>
    <definedName name="Monat.ZS.Total" localSheetId="9">September!$AH$63</definedName>
    <definedName name="Monat.ZSText" localSheetId="4">April!$AF$63</definedName>
    <definedName name="Monat.ZSText" localSheetId="8">August!$AG$63</definedName>
    <definedName name="Monat.ZSText" localSheetId="12">December!$AG$63</definedName>
    <definedName name="Monat.ZSText" localSheetId="2">February!$AE$63</definedName>
    <definedName name="Monat.ZSText" localSheetId="1">January!$AG$63</definedName>
    <definedName name="Monat.ZSText" localSheetId="7">July!$AG$63</definedName>
    <definedName name="Monat.ZSText" localSheetId="6">June!$AF$63</definedName>
    <definedName name="Monat.ZSText" localSheetId="3">March!$AG$63</definedName>
    <definedName name="Monat.ZSText" localSheetId="5">May!$AG$63</definedName>
    <definedName name="Monat.ZSText" localSheetId="11">November!$AF$63</definedName>
    <definedName name="Monat.ZSText" localSheetId="10">October!$AG$63</definedName>
    <definedName name="Monat.ZSText" localSheetId="9">September!$AF$63</definedName>
    <definedName name="Monat.ZUeZ.Total" localSheetId="4">April!$AH$56</definedName>
    <definedName name="Monat.ZUeZ.Total" localSheetId="8">August!$AI$56</definedName>
    <definedName name="Monat.ZUeZ.Total" localSheetId="12">December!$AI$56</definedName>
    <definedName name="Monat.ZUeZ.Total" localSheetId="2">February!$AG$56</definedName>
    <definedName name="Monat.ZUeZ.Total" localSheetId="1">January!$AI$56</definedName>
    <definedName name="Monat.ZUeZ.Total" localSheetId="7">July!$AI$56</definedName>
    <definedName name="Monat.ZUeZ.Total" localSheetId="6">June!$AH$56</definedName>
    <definedName name="Monat.ZUeZ.Total" localSheetId="3">March!$AI$56</definedName>
    <definedName name="Monat.ZUeZ.Total" localSheetId="5">May!$AI$56</definedName>
    <definedName name="Monat.ZUeZ.Total" localSheetId="11">November!$AH$56</definedName>
    <definedName name="Monat.ZUeZ.Total" localSheetId="10">October!$AI$56</definedName>
    <definedName name="Monat.ZUeZ.Total" localSheetId="9">September!$AH$56</definedName>
    <definedName name="Monat.ZZNdUe" localSheetId="4">April!$AM$79</definedName>
    <definedName name="Monat.ZZNdUe" localSheetId="8">August!$AN$79</definedName>
    <definedName name="Monat.ZZNdUe" localSheetId="12">December!$AN$79</definedName>
    <definedName name="Monat.ZZNdUe" localSheetId="2">February!$AL$79</definedName>
    <definedName name="Monat.ZZNdUe" localSheetId="1">January!$AN$79</definedName>
    <definedName name="Monat.ZZNdUe" localSheetId="7">July!$AN$79</definedName>
    <definedName name="Monat.ZZNdUe" localSheetId="6">June!$AM$79</definedName>
    <definedName name="Monat.ZZNdUe" localSheetId="3">March!$AN$79</definedName>
    <definedName name="Monat.ZZNdUe" localSheetId="5">May!$AN$79</definedName>
    <definedName name="Monat.ZZNdUe" localSheetId="11">November!$AM$79</definedName>
    <definedName name="Monat.ZZNdUe" localSheetId="10">October!$AN$79</definedName>
    <definedName name="Monat.ZZNdUe" localSheetId="9">September!$AM$79</definedName>
    <definedName name="Monat.ZZSND.Total" localSheetId="4">April!$AH$79</definedName>
    <definedName name="Monat.ZZSND.Total" localSheetId="8">August!$AI$79</definedName>
    <definedName name="Monat.ZZSND.Total" localSheetId="12">December!$AI$79</definedName>
    <definedName name="Monat.ZZSND.Total" localSheetId="2">February!$AG$79</definedName>
    <definedName name="Monat.ZZSND.Total" localSheetId="1">January!$AI$79</definedName>
    <definedName name="Monat.ZZSND.Total" localSheetId="7">July!$AI$79</definedName>
    <definedName name="Monat.ZZSND.Total" localSheetId="6">June!$AH$79</definedName>
    <definedName name="Monat.ZZSND.Total" localSheetId="3">March!$AI$79</definedName>
    <definedName name="Monat.ZZSND.Total" localSheetId="5">May!$AI$79</definedName>
    <definedName name="Monat.ZZSND.Total" localSheetId="11">November!$AH$79</definedName>
    <definedName name="Monat.ZZSND.Total" localSheetId="10">October!$AI$79</definedName>
    <definedName name="Monat.ZZSND.Total" localSheetId="9">September!$AH$79</definedName>
    <definedName name="Monat.ZZSNDText" localSheetId="4">April!$A$79</definedName>
    <definedName name="Monat.ZZSNDText" localSheetId="8">August!$A$79</definedName>
    <definedName name="Monat.ZZSNDText" localSheetId="12">December!$A$79</definedName>
    <definedName name="Monat.ZZSNDText" localSheetId="2">February!$A$79</definedName>
    <definedName name="Monat.ZZSNDText" localSheetId="1">January!$A$79</definedName>
    <definedName name="Monat.ZZSNDText" localSheetId="7">July!$A$79</definedName>
    <definedName name="Monat.ZZSNDText" localSheetId="6">June!$A$79</definedName>
    <definedName name="Monat.ZZSNDText" localSheetId="3">March!$A$79</definedName>
    <definedName name="Monat.ZZSNDText" localSheetId="5">May!$A$79</definedName>
    <definedName name="Monat.ZZSNDText" localSheetId="11">November!$A$79</definedName>
    <definedName name="Monat.ZZSNDText" localSheetId="10">October!$A$79</definedName>
    <definedName name="Monat.ZZSNDText" localSheetId="9">September!$A$79</definedName>
    <definedName name="PUE.Knoten">Projektübersicht!$A$9</definedName>
    <definedName name="PUE.Monate.Bereich">Projektübersicht!$A$11:$A$22</definedName>
    <definedName name="PUE.ProjektartName.Bereich">Projektübersicht!$A$24:$A$32</definedName>
    <definedName name="PUE.Projektauslastung.Knoten">Projektübersicht!$R$9</definedName>
    <definedName name="PUE.Summe.Knoten">Projektübersicht!$A$34</definedName>
    <definedName name="PUEELZ.Knoten">#REF!</definedName>
    <definedName name="PUEELZ.Monate.Bereich">#REF!</definedName>
    <definedName name="PUEELZ.Projektauslastung.Knoten">#REF!</definedName>
    <definedName name="PUEELZ.Summe.Knoten">#REF!</definedName>
    <definedName name="PUEEQ.DiffProdStd.Knoten">'Projektübersicht-E+Q'!$A$32</definedName>
    <definedName name="PUEEQ.Knoten">'Projektübersicht-E+Q'!$A$9</definedName>
    <definedName name="PUEEQ.Monate.Bereich">'Projektübersicht-E+Q'!$A$17:$A$28</definedName>
    <definedName name="PUEEQ.Projektauslastung.Knoten">'Projektübersicht-E+Q'!$AG$9</definedName>
    <definedName name="PUEEQ.SollProdStd.Knoten">'Projektübersicht-E+Q'!$A$31</definedName>
    <definedName name="PUEEQ.SumTot.Knoten">'Projektübersicht-E+Q'!$A$34</definedName>
    <definedName name="PUEEQ.TotProdStd.Knoten">'Projektübersicht-E+Q'!$A$30</definedName>
    <definedName name="T.50_NoVetsuisse">Tabellen!$AB$4</definedName>
    <definedName name="T.50_Vetsuisse">Tabellen!$AB$3</definedName>
    <definedName name="T.50_VetsuisseZZSND">Tabellen!$AC$3</definedName>
    <definedName name="T.Abendab">Tabellen!$O$4</definedName>
    <definedName name="T.Abendbis">Tabellen!$P$4</definedName>
    <definedName name="T.Abfragewerte.Knoten">Tabellen!$X$2</definedName>
    <definedName name="T.AngÜZ50_Vetsuisse_orange">Tabellen!$Y$4</definedName>
    <definedName name="T.AnzAbfragewerte">Tabellen!$Z$2</definedName>
    <definedName name="T.AnzDefinierteAbfragen">Tabellen!$AD$2</definedName>
    <definedName name="T.AnzDefinierteZeiten">Tabellen!$Q$2</definedName>
    <definedName name="T.AnzFakultaet">Tabellen!$B$2</definedName>
    <definedName name="T.AnzFeiertage">Tabellen!$K$2</definedName>
    <definedName name="T.AnzFrei_Tage">Tabellen!$M$2</definedName>
    <definedName name="T.AnzJaNein">Tabellen!$AF$2</definedName>
    <definedName name="T.AnzPersonalkategorie">Tabellen!$D$2</definedName>
    <definedName name="T.AnzPikett">Tabellen!$AH$2</definedName>
    <definedName name="T.AnzProdStunden">Tabellen!$W$2</definedName>
    <definedName name="T.AnzProjektart">Tabellen!$F$2</definedName>
    <definedName name="T.AnzProjektartName">Tabellen!$H$2</definedName>
    <definedName name="T.AnzWeitereAngaben">Tabellen!$S$2</definedName>
    <definedName name="T.AnzWochenarbeitszeit">Tabellen!$U$2</definedName>
    <definedName name="T.BWFFeriensaldo">Tabellen!$Y$5</definedName>
    <definedName name="T.DefinierteAbfragen">Tabellen!$AB$2</definedName>
    <definedName name="T.DefinierteAbfragen.Knoten">Tabellen!$AA$2</definedName>
    <definedName name="T.DefinierteAbfragenZZSND.Knoten">Tabellen!$AC$2</definedName>
    <definedName name="T.DefinierteZeilen.Knoten">Tabellen!$N$2</definedName>
    <definedName name="T.DefinierteZeitab.Knoten">Tabellen!$O$2</definedName>
    <definedName name="T.DefinierteZeitbis.Knoten">Tabellen!$P$2</definedName>
    <definedName name="T.Fakultaet.Bereich">OFFSET(T.Fakultaet.Knoten,1,0,T.AnzFakultaet,1)</definedName>
    <definedName name="T.Fakultaet.Knoten">Tabellen!$A$2</definedName>
    <definedName name="T.Feiertage.Bereich">OFFSET(T.Feiertage.Knoten,1,0,T.AnzFeiertage,1)</definedName>
    <definedName name="T.Feiertage.ganzerBereich">OFFSET(T.Feiertage.Knoten,1,0,T.AnzFeiertage,2)</definedName>
    <definedName name="T.Feiertage.Knoten">Tabellen!$I$2</definedName>
    <definedName name="T.Frei_Tage.Bereich">OFFSET(T.Frei_Tage.Knoten,1,0,T.AnzFrei_Tage,1)</definedName>
    <definedName name="T.Frei_Tage.Knoten">Tabellen!$L$2</definedName>
    <definedName name="T.GrenzeAngÜZ50_Vetsuisse">Tabellen!$Y$3</definedName>
    <definedName name="T.JaNein.Bereich">OFFSET(T.JaNein.Knoten,1,0,T.AnzJaNein,1)</definedName>
    <definedName name="T.JaNein.Knoten">Tabellen!$AE$2</definedName>
    <definedName name="T.Nachtab">Tabellen!$O$3</definedName>
    <definedName name="T.Nachtbis">Tabellen!$P$3</definedName>
    <definedName name="T.Personalkategorie.Bereich">OFFSET(T.Personalkategorie.Knoten,1,0,T.AnzPersonalkategorie,1)</definedName>
    <definedName name="T.Personalkategorie.Knoten">Tabellen!$C$2</definedName>
    <definedName name="T.Pikett.Bereich">OFFSET(T.Pikett.Knoten,1,0,T.AnzPikett,1)</definedName>
    <definedName name="T.Pikett.Knoten">Tabellen!$AG$2</definedName>
    <definedName name="T.PikettVetsuissebis">Tabellen!$P$5</definedName>
    <definedName name="T.ProdStunden.Bereich">OFFSET(T.ProdStunden.Knoten,1,0,T.AnzProdStunden,1)</definedName>
    <definedName name="T.ProdStunden.Knoten">Tabellen!$V$2</definedName>
    <definedName name="T.Projektart.Bereich">OFFSET(T.Projektart.Knoten,1,0,T.AnzProjektart,1)</definedName>
    <definedName name="T.Projektart.Knoten">Tabellen!$E$2</definedName>
    <definedName name="T.ProjektartName.Bereich">OFFSET(T.ProjektartName.Knoten,1,0,T.AnzProjektartName,1)</definedName>
    <definedName name="T.ProjektartName.Knoten">Tabellen!$G$2</definedName>
    <definedName name="T.ServiceCenterIrchel">Tabellen!$AB$5</definedName>
    <definedName name="T.ServiceCenterIrchelZZSND">Tabellen!$AC$5</definedName>
    <definedName name="T.WeitereAngaben.Bereich">OFFSET(T.WeitereAngaben.Knoten,1,0,T.AnzWeitereAngaben,1)</definedName>
    <definedName name="T.WeitereAngaben.Knoten">Tabellen!$R$2</definedName>
    <definedName name="T.Wochenarbeitszeit.Bereich">OFFSET(T.Wochenarbeitszeit.Knoten,1,0,T.AnzWochenarbeitszeit,1)</definedName>
    <definedName name="T.Wochenarbeitszeit.Knoten">Tabellen!$T$2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1" l="1"/>
  <c r="AG114" i="455"/>
  <c r="AG112" i="455"/>
  <c r="AF112" i="455"/>
  <c r="AE112" i="455"/>
  <c r="AD112" i="455"/>
  <c r="AC112" i="455"/>
  <c r="AB112" i="455"/>
  <c r="AA112" i="455"/>
  <c r="Z112" i="455"/>
  <c r="Y112" i="455"/>
  <c r="X112" i="455"/>
  <c r="W112" i="455"/>
  <c r="V112" i="455"/>
  <c r="U112" i="455"/>
  <c r="T112" i="455"/>
  <c r="S112" i="455"/>
  <c r="R112" i="455"/>
  <c r="Q112" i="455"/>
  <c r="P112" i="455"/>
  <c r="O112" i="455"/>
  <c r="N112" i="455"/>
  <c r="M112" i="455"/>
  <c r="L112" i="455"/>
  <c r="K112" i="455"/>
  <c r="J112" i="455"/>
  <c r="I112" i="455"/>
  <c r="H112" i="455"/>
  <c r="G112" i="455"/>
  <c r="F112" i="455"/>
  <c r="E112" i="455"/>
  <c r="D112" i="455"/>
  <c r="C112" i="455"/>
  <c r="B112" i="455"/>
  <c r="AI112" i="455" s="1"/>
  <c r="AI111" i="455"/>
  <c r="AI110" i="455"/>
  <c r="AI109" i="455"/>
  <c r="AI108" i="455"/>
  <c r="AI107" i="455"/>
  <c r="AI106" i="455"/>
  <c r="AI105" i="455"/>
  <c r="AI104" i="455"/>
  <c r="AI103" i="455"/>
  <c r="AI102" i="455"/>
  <c r="AI101" i="455"/>
  <c r="AI100" i="455"/>
  <c r="AI99" i="455"/>
  <c r="AI98" i="455"/>
  <c r="AI97" i="455"/>
  <c r="AI95" i="455"/>
  <c r="AG95" i="455"/>
  <c r="AI94" i="455"/>
  <c r="AG94" i="455"/>
  <c r="AI93" i="455"/>
  <c r="AG93" i="455"/>
  <c r="AI92" i="455"/>
  <c r="AG92" i="455"/>
  <c r="AI91" i="455"/>
  <c r="AG91" i="455"/>
  <c r="AI90" i="455"/>
  <c r="AG90" i="455"/>
  <c r="AI89" i="455"/>
  <c r="AG89" i="455"/>
  <c r="AI88" i="455"/>
  <c r="AG88" i="455"/>
  <c r="AI87" i="455"/>
  <c r="AG87" i="455"/>
  <c r="AI86" i="455"/>
  <c r="AG86" i="455"/>
  <c r="AI84" i="455"/>
  <c r="AG84" i="455"/>
  <c r="AG82" i="455"/>
  <c r="AG81" i="455"/>
  <c r="AG80" i="455"/>
  <c r="AG79" i="455"/>
  <c r="AG77" i="455"/>
  <c r="AG76" i="455"/>
  <c r="AG75" i="455"/>
  <c r="AG73" i="455"/>
  <c r="AG72" i="455"/>
  <c r="AI71" i="455"/>
  <c r="AG71" i="455"/>
  <c r="AG70" i="455"/>
  <c r="AG69" i="455"/>
  <c r="AI67" i="455"/>
  <c r="AI61" i="455"/>
  <c r="AG61" i="455"/>
  <c r="AG60" i="455"/>
  <c r="AG56" i="455"/>
  <c r="AG55" i="455"/>
  <c r="AG54" i="455"/>
  <c r="AG53" i="455"/>
  <c r="AG52" i="455"/>
  <c r="AG51" i="455"/>
  <c r="AG49" i="455"/>
  <c r="AG48" i="455"/>
  <c r="AG47" i="455"/>
  <c r="AE47" i="455"/>
  <c r="AC47" i="455"/>
  <c r="AA47" i="455"/>
  <c r="Y47" i="455"/>
  <c r="W47" i="455"/>
  <c r="U47" i="455"/>
  <c r="S47" i="455"/>
  <c r="Q47" i="455"/>
  <c r="O47" i="455"/>
  <c r="M47" i="455"/>
  <c r="K47" i="455"/>
  <c r="I47" i="455"/>
  <c r="G47" i="455"/>
  <c r="E47" i="455"/>
  <c r="C47" i="455"/>
  <c r="AG45" i="455"/>
  <c r="AF45" i="455"/>
  <c r="AE45" i="455"/>
  <c r="AE60" i="455" s="1"/>
  <c r="AD45" i="455"/>
  <c r="AC45" i="455"/>
  <c r="AC60" i="455" s="1"/>
  <c r="AB45" i="455"/>
  <c r="AA45" i="455"/>
  <c r="AA60" i="455" s="1"/>
  <c r="Z45" i="455"/>
  <c r="Y45" i="455"/>
  <c r="Y60" i="455" s="1"/>
  <c r="X45" i="455"/>
  <c r="W45" i="455"/>
  <c r="W60" i="455" s="1"/>
  <c r="V45" i="455"/>
  <c r="U45" i="455"/>
  <c r="U60" i="455" s="1"/>
  <c r="T45" i="455"/>
  <c r="S45" i="455"/>
  <c r="S60" i="455" s="1"/>
  <c r="R45" i="455"/>
  <c r="Q45" i="455"/>
  <c r="Q60" i="455" s="1"/>
  <c r="P45" i="455"/>
  <c r="O45" i="455"/>
  <c r="O60" i="455" s="1"/>
  <c r="N45" i="455"/>
  <c r="M45" i="455"/>
  <c r="M60" i="455" s="1"/>
  <c r="L45" i="455"/>
  <c r="K45" i="455"/>
  <c r="K60" i="455" s="1"/>
  <c r="J45" i="455"/>
  <c r="I45" i="455"/>
  <c r="I60" i="455" s="1"/>
  <c r="H45" i="455"/>
  <c r="G45" i="455"/>
  <c r="G60" i="455" s="1"/>
  <c r="F45" i="455"/>
  <c r="E45" i="455"/>
  <c r="E60" i="455" s="1"/>
  <c r="D45" i="455"/>
  <c r="C45" i="455"/>
  <c r="C60" i="455" s="1"/>
  <c r="B45" i="455"/>
  <c r="AG44" i="455"/>
  <c r="AG43" i="455"/>
  <c r="AG42" i="455"/>
  <c r="AG41" i="455"/>
  <c r="AG40" i="455"/>
  <c r="AG39" i="455"/>
  <c r="AG38" i="455"/>
  <c r="AG37" i="455"/>
  <c r="AG36" i="455"/>
  <c r="AG35" i="455"/>
  <c r="AG32" i="455"/>
  <c r="AF32" i="455"/>
  <c r="AE32" i="455"/>
  <c r="AD32" i="455"/>
  <c r="AC32" i="455"/>
  <c r="AB32" i="455"/>
  <c r="AA32" i="455"/>
  <c r="Z32" i="455"/>
  <c r="Y32" i="455"/>
  <c r="X32" i="455"/>
  <c r="W32" i="455"/>
  <c r="V32" i="455"/>
  <c r="U32" i="455"/>
  <c r="T32" i="455"/>
  <c r="S32" i="455"/>
  <c r="R32" i="455"/>
  <c r="Q32" i="455"/>
  <c r="P32" i="455"/>
  <c r="O32" i="455"/>
  <c r="N32" i="455"/>
  <c r="M32" i="455"/>
  <c r="L32" i="455"/>
  <c r="K32" i="455"/>
  <c r="J32" i="455"/>
  <c r="I32" i="455"/>
  <c r="H32" i="455"/>
  <c r="G32" i="455"/>
  <c r="F32" i="455"/>
  <c r="E32" i="455"/>
  <c r="D32" i="455"/>
  <c r="C32" i="455"/>
  <c r="B32" i="455"/>
  <c r="AI32" i="455" s="1"/>
  <c r="AG30" i="455"/>
  <c r="AG29" i="455"/>
  <c r="AG28" i="455"/>
  <c r="AG27" i="455"/>
  <c r="AG26" i="455"/>
  <c r="AG25" i="455"/>
  <c r="AG23" i="455"/>
  <c r="AF23" i="455"/>
  <c r="AE23" i="455"/>
  <c r="AE114" i="455" s="1"/>
  <c r="AD23" i="455"/>
  <c r="AC23" i="455"/>
  <c r="AB23" i="455"/>
  <c r="AA23" i="455"/>
  <c r="AA114" i="455" s="1"/>
  <c r="Z23" i="455"/>
  <c r="Y23" i="455"/>
  <c r="X23" i="455"/>
  <c r="W23" i="455"/>
  <c r="W114" i="455" s="1"/>
  <c r="V23" i="455"/>
  <c r="U23" i="455"/>
  <c r="T23" i="455"/>
  <c r="S23" i="455"/>
  <c r="S114" i="455" s="1"/>
  <c r="R23" i="455"/>
  <c r="Q23" i="455"/>
  <c r="P23" i="455"/>
  <c r="O23" i="455"/>
  <c r="O114" i="455" s="1"/>
  <c r="N23" i="455"/>
  <c r="M23" i="455"/>
  <c r="L23" i="455"/>
  <c r="K23" i="455"/>
  <c r="K114" i="455" s="1"/>
  <c r="J23" i="455"/>
  <c r="I23" i="455"/>
  <c r="H23" i="455"/>
  <c r="G23" i="455"/>
  <c r="G114" i="455" s="1"/>
  <c r="F23" i="455"/>
  <c r="E23" i="455"/>
  <c r="D23" i="455"/>
  <c r="C23" i="455"/>
  <c r="C114" i="455" s="1"/>
  <c r="B23" i="455"/>
  <c r="AG22" i="455"/>
  <c r="AG21" i="455"/>
  <c r="AG20" i="455"/>
  <c r="AG19" i="455"/>
  <c r="AG18" i="455"/>
  <c r="AG17" i="455"/>
  <c r="AG16" i="455"/>
  <c r="AG15" i="455"/>
  <c r="AG14" i="455"/>
  <c r="AG13" i="455"/>
  <c r="B12" i="455"/>
  <c r="AO10" i="455"/>
  <c r="AH10" i="455"/>
  <c r="AG10" i="455"/>
  <c r="C10" i="455"/>
  <c r="F7" i="455"/>
  <c r="B7" i="455"/>
  <c r="V6" i="455"/>
  <c r="U6" i="455"/>
  <c r="T6" i="455"/>
  <c r="S6" i="455"/>
  <c r="R6" i="455"/>
  <c r="Q6" i="455"/>
  <c r="B9" i="455" s="1"/>
  <c r="P6" i="455"/>
  <c r="F6" i="455"/>
  <c r="B6" i="455"/>
  <c r="P5" i="455"/>
  <c r="F5" i="455"/>
  <c r="B5" i="455"/>
  <c r="F4" i="455"/>
  <c r="B4" i="455"/>
  <c r="P3" i="455"/>
  <c r="F3" i="455"/>
  <c r="B3" i="455"/>
  <c r="P2" i="455"/>
  <c r="F2" i="455"/>
  <c r="B2" i="455"/>
  <c r="AQ1" i="455"/>
  <c r="AO1" i="455"/>
  <c r="B1" i="455"/>
  <c r="A1" i="455"/>
  <c r="AF114" i="454"/>
  <c r="AF112" i="454"/>
  <c r="AE112" i="454"/>
  <c r="AD112" i="454"/>
  <c r="AC112" i="454"/>
  <c r="AB112" i="454"/>
  <c r="AA112" i="454"/>
  <c r="Z112" i="454"/>
  <c r="Y112" i="454"/>
  <c r="X112" i="454"/>
  <c r="W112" i="454"/>
  <c r="V112" i="454"/>
  <c r="U112" i="454"/>
  <c r="T112" i="454"/>
  <c r="S112" i="454"/>
  <c r="R112" i="454"/>
  <c r="Q112" i="454"/>
  <c r="P112" i="454"/>
  <c r="O112" i="454"/>
  <c r="N112" i="454"/>
  <c r="M112" i="454"/>
  <c r="L112" i="454"/>
  <c r="K112" i="454"/>
  <c r="J112" i="454"/>
  <c r="I112" i="454"/>
  <c r="H112" i="454"/>
  <c r="G112" i="454"/>
  <c r="F112" i="454"/>
  <c r="E112" i="454"/>
  <c r="D112" i="454"/>
  <c r="C112" i="454"/>
  <c r="B112" i="454"/>
  <c r="AH111" i="454"/>
  <c r="AH110" i="454"/>
  <c r="AH109" i="454"/>
  <c r="AH108" i="454"/>
  <c r="AH107" i="454"/>
  <c r="AH106" i="454"/>
  <c r="AH105" i="454"/>
  <c r="AH104" i="454"/>
  <c r="AH103" i="454"/>
  <c r="AH102" i="454"/>
  <c r="AH101" i="454"/>
  <c r="AH100" i="454"/>
  <c r="AH99" i="454"/>
  <c r="AH98" i="454"/>
  <c r="AH97" i="454"/>
  <c r="AH95" i="454"/>
  <c r="AF95" i="454"/>
  <c r="AH94" i="454"/>
  <c r="AF94" i="454"/>
  <c r="AH93" i="454"/>
  <c r="AF93" i="454"/>
  <c r="AH92" i="454"/>
  <c r="AF92" i="454"/>
  <c r="AH91" i="454"/>
  <c r="AF91" i="454"/>
  <c r="AH90" i="454"/>
  <c r="AF90" i="454"/>
  <c r="AH89" i="454"/>
  <c r="AF89" i="454"/>
  <c r="AH88" i="454"/>
  <c r="AF88" i="454"/>
  <c r="AH87" i="454"/>
  <c r="AF87" i="454"/>
  <c r="AH86" i="454"/>
  <c r="AF86" i="454"/>
  <c r="AH84" i="454"/>
  <c r="AF84" i="454"/>
  <c r="AF82" i="454"/>
  <c r="AF81" i="454"/>
  <c r="AF80" i="454"/>
  <c r="AF79" i="454"/>
  <c r="AF77" i="454"/>
  <c r="AF76" i="454"/>
  <c r="AF75" i="454"/>
  <c r="AF73" i="454"/>
  <c r="AF72" i="454"/>
  <c r="AH71" i="454"/>
  <c r="AF71" i="454"/>
  <c r="AF70" i="454"/>
  <c r="AF69" i="454"/>
  <c r="AH67" i="454"/>
  <c r="AH61" i="454"/>
  <c r="AF61" i="454"/>
  <c r="AF60" i="454"/>
  <c r="AF56" i="454"/>
  <c r="AF55" i="454"/>
  <c r="AF54" i="454"/>
  <c r="AF53" i="454"/>
  <c r="AF52" i="454"/>
  <c r="AF51" i="454"/>
  <c r="AF49" i="454"/>
  <c r="AF48" i="454"/>
  <c r="AF47" i="454"/>
  <c r="AF45" i="454"/>
  <c r="AE45" i="454"/>
  <c r="AE47" i="454" s="1"/>
  <c r="AD45" i="454"/>
  <c r="AD60" i="454" s="1"/>
  <c r="AC45" i="454"/>
  <c r="AC60" i="454" s="1"/>
  <c r="AB45" i="454"/>
  <c r="AA45" i="454"/>
  <c r="AA47" i="454" s="1"/>
  <c r="Z45" i="454"/>
  <c r="Z47" i="454" s="1"/>
  <c r="Y45" i="454"/>
  <c r="Y60" i="454" s="1"/>
  <c r="X45" i="454"/>
  <c r="W45" i="454"/>
  <c r="W47" i="454" s="1"/>
  <c r="V45" i="454"/>
  <c r="V47" i="454" s="1"/>
  <c r="U45" i="454"/>
  <c r="U60" i="454" s="1"/>
  <c r="T45" i="454"/>
  <c r="S45" i="454"/>
  <c r="S47" i="454" s="1"/>
  <c r="R45" i="454"/>
  <c r="R47" i="454" s="1"/>
  <c r="Q45" i="454"/>
  <c r="Q60" i="454" s="1"/>
  <c r="P45" i="454"/>
  <c r="O45" i="454"/>
  <c r="O47" i="454" s="1"/>
  <c r="N45" i="454"/>
  <c r="N47" i="454" s="1"/>
  <c r="M45" i="454"/>
  <c r="M60" i="454" s="1"/>
  <c r="L45" i="454"/>
  <c r="K45" i="454"/>
  <c r="K47" i="454" s="1"/>
  <c r="J45" i="454"/>
  <c r="J47" i="454" s="1"/>
  <c r="I45" i="454"/>
  <c r="I60" i="454" s="1"/>
  <c r="H45" i="454"/>
  <c r="G45" i="454"/>
  <c r="G47" i="454" s="1"/>
  <c r="F45" i="454"/>
  <c r="F47" i="454" s="1"/>
  <c r="E45" i="454"/>
  <c r="E60" i="454" s="1"/>
  <c r="D45" i="454"/>
  <c r="C45" i="454"/>
  <c r="C47" i="454" s="1"/>
  <c r="B45" i="454"/>
  <c r="B47" i="454" s="1"/>
  <c r="AF44" i="454"/>
  <c r="AF43" i="454"/>
  <c r="AF42" i="454"/>
  <c r="AF41" i="454"/>
  <c r="AF40" i="454"/>
  <c r="AF39" i="454"/>
  <c r="AF38" i="454"/>
  <c r="AF37" i="454"/>
  <c r="AF36" i="454"/>
  <c r="AF35" i="454"/>
  <c r="AF32" i="454"/>
  <c r="AE32" i="454"/>
  <c r="AD32" i="454"/>
  <c r="AC32" i="454"/>
  <c r="AB32" i="454"/>
  <c r="AA32" i="454"/>
  <c r="Z32" i="454"/>
  <c r="Y32" i="454"/>
  <c r="X32" i="454"/>
  <c r="W32" i="454"/>
  <c r="V32" i="454"/>
  <c r="U32" i="454"/>
  <c r="T32" i="454"/>
  <c r="S32" i="454"/>
  <c r="R32" i="454"/>
  <c r="Q32" i="454"/>
  <c r="P32" i="454"/>
  <c r="O32" i="454"/>
  <c r="N32" i="454"/>
  <c r="M32" i="454"/>
  <c r="L32" i="454"/>
  <c r="K32" i="454"/>
  <c r="J32" i="454"/>
  <c r="I32" i="454"/>
  <c r="H32" i="454"/>
  <c r="G32" i="454"/>
  <c r="F32" i="454"/>
  <c r="E32" i="454"/>
  <c r="D32" i="454"/>
  <c r="C32" i="454"/>
  <c r="B32" i="454"/>
  <c r="AH32" i="454" s="1"/>
  <c r="AF30" i="454"/>
  <c r="AF29" i="454"/>
  <c r="AF28" i="454"/>
  <c r="AF27" i="454"/>
  <c r="AF26" i="454"/>
  <c r="AF25" i="454"/>
  <c r="AF23" i="454"/>
  <c r="AE23" i="454"/>
  <c r="AE114" i="454" s="1"/>
  <c r="AD23" i="454"/>
  <c r="AD114" i="454" s="1"/>
  <c r="AC23" i="454"/>
  <c r="AC114" i="454" s="1"/>
  <c r="AB23" i="454"/>
  <c r="AB114" i="454" s="1"/>
  <c r="AA23" i="454"/>
  <c r="AA114" i="454" s="1"/>
  <c r="Z23" i="454"/>
  <c r="Z114" i="454" s="1"/>
  <c r="Y23" i="454"/>
  <c r="Y114" i="454" s="1"/>
  <c r="X23" i="454"/>
  <c r="X114" i="454" s="1"/>
  <c r="W23" i="454"/>
  <c r="W114" i="454" s="1"/>
  <c r="V23" i="454"/>
  <c r="V114" i="454" s="1"/>
  <c r="U23" i="454"/>
  <c r="U114" i="454" s="1"/>
  <c r="T23" i="454"/>
  <c r="T114" i="454" s="1"/>
  <c r="S23" i="454"/>
  <c r="S114" i="454" s="1"/>
  <c r="R23" i="454"/>
  <c r="R114" i="454" s="1"/>
  <c r="Q23" i="454"/>
  <c r="Q114" i="454" s="1"/>
  <c r="P23" i="454"/>
  <c r="P114" i="454" s="1"/>
  <c r="O23" i="454"/>
  <c r="O114" i="454" s="1"/>
  <c r="N23" i="454"/>
  <c r="N114" i="454" s="1"/>
  <c r="M23" i="454"/>
  <c r="M114" i="454" s="1"/>
  <c r="L23" i="454"/>
  <c r="L114" i="454" s="1"/>
  <c r="K23" i="454"/>
  <c r="K114" i="454" s="1"/>
  <c r="J23" i="454"/>
  <c r="J114" i="454" s="1"/>
  <c r="I23" i="454"/>
  <c r="I114" i="454" s="1"/>
  <c r="H23" i="454"/>
  <c r="H114" i="454" s="1"/>
  <c r="G23" i="454"/>
  <c r="G114" i="454" s="1"/>
  <c r="F23" i="454"/>
  <c r="F114" i="454" s="1"/>
  <c r="E23" i="454"/>
  <c r="E114" i="454" s="1"/>
  <c r="D23" i="454"/>
  <c r="D114" i="454" s="1"/>
  <c r="C23" i="454"/>
  <c r="C114" i="454" s="1"/>
  <c r="B23" i="454"/>
  <c r="B114" i="454" s="1"/>
  <c r="AH114" i="454" s="1"/>
  <c r="AF22" i="454"/>
  <c r="AF21" i="454"/>
  <c r="AF20" i="454"/>
  <c r="AF19" i="454"/>
  <c r="AF18" i="454"/>
  <c r="AF17" i="454"/>
  <c r="AF16" i="454"/>
  <c r="AF15" i="454"/>
  <c r="AF14" i="454"/>
  <c r="AF13" i="454"/>
  <c r="C12" i="454"/>
  <c r="B12" i="454"/>
  <c r="AN10" i="454"/>
  <c r="AG10" i="454"/>
  <c r="AF10" i="454"/>
  <c r="C10" i="454"/>
  <c r="C9" i="454"/>
  <c r="F7" i="454"/>
  <c r="B7" i="454"/>
  <c r="V6" i="454"/>
  <c r="B9" i="454" s="1"/>
  <c r="U6" i="454"/>
  <c r="T6" i="454"/>
  <c r="S6" i="454"/>
  <c r="R6" i="454"/>
  <c r="Q6" i="454"/>
  <c r="P6" i="454"/>
  <c r="F6" i="454"/>
  <c r="B6" i="454"/>
  <c r="P5" i="454"/>
  <c r="F5" i="454"/>
  <c r="B5" i="454"/>
  <c r="F4" i="454"/>
  <c r="B4" i="454"/>
  <c r="P3" i="454"/>
  <c r="F3" i="454"/>
  <c r="B3" i="454"/>
  <c r="P2" i="454"/>
  <c r="F2" i="454"/>
  <c r="B2" i="454"/>
  <c r="AP1" i="454"/>
  <c r="AN1" i="454"/>
  <c r="B1" i="454"/>
  <c r="A1" i="454"/>
  <c r="AG114" i="453"/>
  <c r="AG112" i="453"/>
  <c r="AF112" i="453"/>
  <c r="AE112" i="453"/>
  <c r="AD112" i="453"/>
  <c r="AC112" i="453"/>
  <c r="AB112" i="453"/>
  <c r="AA112" i="453"/>
  <c r="Z112" i="453"/>
  <c r="Y112" i="453"/>
  <c r="X112" i="453"/>
  <c r="W112" i="453"/>
  <c r="V112" i="453"/>
  <c r="U112" i="453"/>
  <c r="T112" i="453"/>
  <c r="S112" i="453"/>
  <c r="R112" i="453"/>
  <c r="Q112" i="453"/>
  <c r="P112" i="453"/>
  <c r="O112" i="453"/>
  <c r="N112" i="453"/>
  <c r="M112" i="453"/>
  <c r="L112" i="453"/>
  <c r="K112" i="453"/>
  <c r="J112" i="453"/>
  <c r="I112" i="453"/>
  <c r="H112" i="453"/>
  <c r="G112" i="453"/>
  <c r="F112" i="453"/>
  <c r="E112" i="453"/>
  <c r="D112" i="453"/>
  <c r="C112" i="453"/>
  <c r="B112" i="453"/>
  <c r="AI112" i="453" s="1"/>
  <c r="AI111" i="453"/>
  <c r="AI110" i="453"/>
  <c r="AI109" i="453"/>
  <c r="AI108" i="453"/>
  <c r="AI107" i="453"/>
  <c r="AI106" i="453"/>
  <c r="AI105" i="453"/>
  <c r="AI104" i="453"/>
  <c r="AI103" i="453"/>
  <c r="AI102" i="453"/>
  <c r="AI101" i="453"/>
  <c r="AI100" i="453"/>
  <c r="AI99" i="453"/>
  <c r="AI98" i="453"/>
  <c r="AI97" i="453"/>
  <c r="AI95" i="453"/>
  <c r="AG95" i="453"/>
  <c r="AI94" i="453"/>
  <c r="AG94" i="453"/>
  <c r="AI93" i="453"/>
  <c r="AG93" i="453"/>
  <c r="AI92" i="453"/>
  <c r="AG92" i="453"/>
  <c r="AI91" i="453"/>
  <c r="AG91" i="453"/>
  <c r="AI90" i="453"/>
  <c r="AG90" i="453"/>
  <c r="AI89" i="453"/>
  <c r="AG89" i="453"/>
  <c r="AI88" i="453"/>
  <c r="AG88" i="453"/>
  <c r="AI87" i="453"/>
  <c r="AG87" i="453"/>
  <c r="AI86" i="453"/>
  <c r="AG86" i="453"/>
  <c r="AI84" i="453"/>
  <c r="AG84" i="453"/>
  <c r="AG82" i="453"/>
  <c r="AG81" i="453"/>
  <c r="AG80" i="453"/>
  <c r="AG79" i="453"/>
  <c r="AG77" i="453"/>
  <c r="AG76" i="453"/>
  <c r="AG75" i="453"/>
  <c r="AG73" i="453"/>
  <c r="AG72" i="453"/>
  <c r="AI71" i="453"/>
  <c r="AG71" i="453"/>
  <c r="AG70" i="453"/>
  <c r="AG69" i="453"/>
  <c r="AI67" i="453"/>
  <c r="AI61" i="453"/>
  <c r="AG61" i="453"/>
  <c r="AG60" i="453"/>
  <c r="AG56" i="453"/>
  <c r="AG55" i="453"/>
  <c r="AG54" i="453"/>
  <c r="AG53" i="453"/>
  <c r="AG52" i="453"/>
  <c r="AG51" i="453"/>
  <c r="AG49" i="453"/>
  <c r="AG48" i="453"/>
  <c r="AG47" i="453"/>
  <c r="AC47" i="453"/>
  <c r="Y47" i="453"/>
  <c r="U47" i="453"/>
  <c r="AG45" i="453"/>
  <c r="AF45" i="453"/>
  <c r="AF60" i="453" s="1"/>
  <c r="AE45" i="453"/>
  <c r="AE60" i="453" s="1"/>
  <c r="AD45" i="453"/>
  <c r="AD60" i="453" s="1"/>
  <c r="AC45" i="453"/>
  <c r="AC60" i="453" s="1"/>
  <c r="AB45" i="453"/>
  <c r="AB60" i="453" s="1"/>
  <c r="AA45" i="453"/>
  <c r="AA60" i="453" s="1"/>
  <c r="Z45" i="453"/>
  <c r="Z60" i="453" s="1"/>
  <c r="Y45" i="453"/>
  <c r="Y60" i="453" s="1"/>
  <c r="X45" i="453"/>
  <c r="X60" i="453" s="1"/>
  <c r="W45" i="453"/>
  <c r="W60" i="453" s="1"/>
  <c r="V45" i="453"/>
  <c r="V60" i="453" s="1"/>
  <c r="U45" i="453"/>
  <c r="U60" i="453" s="1"/>
  <c r="T45" i="453"/>
  <c r="T60" i="453" s="1"/>
  <c r="S45" i="453"/>
  <c r="S60" i="453" s="1"/>
  <c r="R45" i="453"/>
  <c r="R60" i="453" s="1"/>
  <c r="Q45" i="453"/>
  <c r="Q60" i="453" s="1"/>
  <c r="P45" i="453"/>
  <c r="P60" i="453" s="1"/>
  <c r="O45" i="453"/>
  <c r="O60" i="453" s="1"/>
  <c r="N45" i="453"/>
  <c r="N60" i="453" s="1"/>
  <c r="M45" i="453"/>
  <c r="M60" i="453" s="1"/>
  <c r="L45" i="453"/>
  <c r="L60" i="453" s="1"/>
  <c r="K45" i="453"/>
  <c r="K60" i="453" s="1"/>
  <c r="J45" i="453"/>
  <c r="J60" i="453" s="1"/>
  <c r="I45" i="453"/>
  <c r="I60" i="453" s="1"/>
  <c r="H45" i="453"/>
  <c r="H60" i="453" s="1"/>
  <c r="G45" i="453"/>
  <c r="G60" i="453" s="1"/>
  <c r="F45" i="453"/>
  <c r="F60" i="453" s="1"/>
  <c r="E45" i="453"/>
  <c r="E60" i="453" s="1"/>
  <c r="D45" i="453"/>
  <c r="D60" i="453" s="1"/>
  <c r="C45" i="453"/>
  <c r="C60" i="453" s="1"/>
  <c r="B45" i="453"/>
  <c r="B60" i="453" s="1"/>
  <c r="AG44" i="453"/>
  <c r="AG43" i="453"/>
  <c r="AG42" i="453"/>
  <c r="AG41" i="453"/>
  <c r="AG40" i="453"/>
  <c r="AG39" i="453"/>
  <c r="AG38" i="453"/>
  <c r="AG37" i="453"/>
  <c r="AG36" i="453"/>
  <c r="AG35" i="453"/>
  <c r="AG32" i="453"/>
  <c r="AF32" i="453"/>
  <c r="AE32" i="453"/>
  <c r="AD32" i="453"/>
  <c r="AC32" i="453"/>
  <c r="AB32" i="453"/>
  <c r="AA32" i="453"/>
  <c r="Z32" i="453"/>
  <c r="Y32" i="453"/>
  <c r="X32" i="453"/>
  <c r="W32" i="453"/>
  <c r="V32" i="453"/>
  <c r="U32" i="453"/>
  <c r="T32" i="453"/>
  <c r="S32" i="453"/>
  <c r="R32" i="453"/>
  <c r="Q32" i="453"/>
  <c r="P32" i="453"/>
  <c r="O32" i="453"/>
  <c r="N32" i="453"/>
  <c r="M32" i="453"/>
  <c r="L32" i="453"/>
  <c r="K32" i="453"/>
  <c r="J32" i="453"/>
  <c r="I32" i="453"/>
  <c r="H32" i="453"/>
  <c r="G32" i="453"/>
  <c r="F32" i="453"/>
  <c r="E32" i="453"/>
  <c r="D32" i="453"/>
  <c r="C32" i="453"/>
  <c r="B32" i="453"/>
  <c r="AI32" i="453" s="1"/>
  <c r="AG30" i="453"/>
  <c r="AG29" i="453"/>
  <c r="AG28" i="453"/>
  <c r="AG27" i="453"/>
  <c r="AG26" i="453"/>
  <c r="AG25" i="453"/>
  <c r="AG23" i="453"/>
  <c r="AF23" i="453"/>
  <c r="AF114" i="453" s="1"/>
  <c r="AE23" i="453"/>
  <c r="AE114" i="453" s="1"/>
  <c r="AD23" i="453"/>
  <c r="AD114" i="453" s="1"/>
  <c r="AC23" i="453"/>
  <c r="AC114" i="453" s="1"/>
  <c r="AB23" i="453"/>
  <c r="AB114" i="453" s="1"/>
  <c r="AA23" i="453"/>
  <c r="AA114" i="453" s="1"/>
  <c r="Z23" i="453"/>
  <c r="Z114" i="453" s="1"/>
  <c r="Y23" i="453"/>
  <c r="Y114" i="453" s="1"/>
  <c r="X23" i="453"/>
  <c r="X114" i="453" s="1"/>
  <c r="W23" i="453"/>
  <c r="W114" i="453" s="1"/>
  <c r="V23" i="453"/>
  <c r="V114" i="453" s="1"/>
  <c r="U23" i="453"/>
  <c r="U114" i="453" s="1"/>
  <c r="T23" i="453"/>
  <c r="T114" i="453" s="1"/>
  <c r="S23" i="453"/>
  <c r="S114" i="453" s="1"/>
  <c r="R23" i="453"/>
  <c r="R114" i="453" s="1"/>
  <c r="Q23" i="453"/>
  <c r="Q114" i="453" s="1"/>
  <c r="P23" i="453"/>
  <c r="P114" i="453" s="1"/>
  <c r="O23" i="453"/>
  <c r="O114" i="453" s="1"/>
  <c r="N23" i="453"/>
  <c r="N114" i="453" s="1"/>
  <c r="M23" i="453"/>
  <c r="M114" i="453" s="1"/>
  <c r="L23" i="453"/>
  <c r="L114" i="453" s="1"/>
  <c r="K23" i="453"/>
  <c r="K114" i="453" s="1"/>
  <c r="J23" i="453"/>
  <c r="J114" i="453" s="1"/>
  <c r="I23" i="453"/>
  <c r="I114" i="453" s="1"/>
  <c r="H23" i="453"/>
  <c r="H114" i="453" s="1"/>
  <c r="G23" i="453"/>
  <c r="G114" i="453" s="1"/>
  <c r="F23" i="453"/>
  <c r="F114" i="453" s="1"/>
  <c r="E23" i="453"/>
  <c r="E114" i="453" s="1"/>
  <c r="D23" i="453"/>
  <c r="D114" i="453" s="1"/>
  <c r="C23" i="453"/>
  <c r="C114" i="453" s="1"/>
  <c r="B23" i="453"/>
  <c r="B114" i="453" s="1"/>
  <c r="AG22" i="453"/>
  <c r="AG21" i="453"/>
  <c r="AG20" i="453"/>
  <c r="AG19" i="453"/>
  <c r="AG18" i="453"/>
  <c r="AG17" i="453"/>
  <c r="AG16" i="453"/>
  <c r="AG15" i="453"/>
  <c r="AG14" i="453"/>
  <c r="AG13" i="453"/>
  <c r="B12" i="453"/>
  <c r="AO10" i="453"/>
  <c r="AH10" i="453"/>
  <c r="AG10" i="453"/>
  <c r="C10" i="453"/>
  <c r="B9" i="453"/>
  <c r="F7" i="453"/>
  <c r="B7" i="453"/>
  <c r="V6" i="453"/>
  <c r="U6" i="453"/>
  <c r="T6" i="453"/>
  <c r="S6" i="453"/>
  <c r="R6" i="453"/>
  <c r="Q6" i="453"/>
  <c r="P6" i="453"/>
  <c r="F6" i="453"/>
  <c r="B6" i="453"/>
  <c r="P5" i="453"/>
  <c r="F5" i="453"/>
  <c r="B5" i="453"/>
  <c r="F4" i="453"/>
  <c r="B4" i="453"/>
  <c r="P3" i="453"/>
  <c r="F3" i="453"/>
  <c r="B3" i="453"/>
  <c r="P2" i="453"/>
  <c r="F2" i="453"/>
  <c r="B2" i="453"/>
  <c r="AQ1" i="453"/>
  <c r="AO1" i="453"/>
  <c r="B1" i="453"/>
  <c r="A1" i="453"/>
  <c r="AF114" i="452"/>
  <c r="AF112" i="452"/>
  <c r="AE112" i="452"/>
  <c r="AD112" i="452"/>
  <c r="AC112" i="452"/>
  <c r="AB112" i="452"/>
  <c r="AA112" i="452"/>
  <c r="Z112" i="452"/>
  <c r="Y112" i="452"/>
  <c r="X112" i="452"/>
  <c r="W112" i="452"/>
  <c r="V112" i="452"/>
  <c r="U112" i="452"/>
  <c r="T112" i="452"/>
  <c r="S112" i="452"/>
  <c r="R112" i="452"/>
  <c r="Q112" i="452"/>
  <c r="P112" i="452"/>
  <c r="O112" i="452"/>
  <c r="N112" i="452"/>
  <c r="M112" i="452"/>
  <c r="L112" i="452"/>
  <c r="K112" i="452"/>
  <c r="J112" i="452"/>
  <c r="I112" i="452"/>
  <c r="H112" i="452"/>
  <c r="G112" i="452"/>
  <c r="F112" i="452"/>
  <c r="E112" i="452"/>
  <c r="D112" i="452"/>
  <c r="AH112" i="452" s="1"/>
  <c r="C112" i="452"/>
  <c r="B112" i="452"/>
  <c r="AH111" i="452"/>
  <c r="AH110" i="452"/>
  <c r="AH109" i="452"/>
  <c r="AH108" i="452"/>
  <c r="AH107" i="452"/>
  <c r="AH106" i="452"/>
  <c r="AH105" i="452"/>
  <c r="AH104" i="452"/>
  <c r="AH103" i="452"/>
  <c r="AH102" i="452"/>
  <c r="AH101" i="452"/>
  <c r="AH100" i="452"/>
  <c r="AH99" i="452"/>
  <c r="AH98" i="452"/>
  <c r="AH97" i="452"/>
  <c r="AH95" i="452"/>
  <c r="AF95" i="452"/>
  <c r="AH94" i="452"/>
  <c r="AF94" i="452"/>
  <c r="AH93" i="452"/>
  <c r="AF93" i="452"/>
  <c r="AH92" i="452"/>
  <c r="AF92" i="452"/>
  <c r="AH91" i="452"/>
  <c r="AF91" i="452"/>
  <c r="AH90" i="452"/>
  <c r="AF90" i="452"/>
  <c r="AH89" i="452"/>
  <c r="AF89" i="452"/>
  <c r="AH88" i="452"/>
  <c r="AF88" i="452"/>
  <c r="AH87" i="452"/>
  <c r="AF87" i="452"/>
  <c r="AH86" i="452"/>
  <c r="AF86" i="452"/>
  <c r="AH84" i="452"/>
  <c r="AF84" i="452"/>
  <c r="AF82" i="452"/>
  <c r="AF81" i="452"/>
  <c r="AF80" i="452"/>
  <c r="AF79" i="452"/>
  <c r="AF77" i="452"/>
  <c r="AF76" i="452"/>
  <c r="AF75" i="452"/>
  <c r="AF73" i="452"/>
  <c r="AF72" i="452"/>
  <c r="AH71" i="452"/>
  <c r="AF71" i="452"/>
  <c r="AF70" i="452"/>
  <c r="AF69" i="452"/>
  <c r="AH67" i="452"/>
  <c r="AH61" i="452"/>
  <c r="AF61" i="452"/>
  <c r="AF60" i="452"/>
  <c r="AF56" i="452"/>
  <c r="AF55" i="452"/>
  <c r="AF54" i="452"/>
  <c r="AF53" i="452"/>
  <c r="AF52" i="452"/>
  <c r="AF51" i="452"/>
  <c r="AF49" i="452"/>
  <c r="AF48" i="452"/>
  <c r="AF47" i="452"/>
  <c r="AF45" i="452"/>
  <c r="AE45" i="452"/>
  <c r="AD45" i="452"/>
  <c r="AD47" i="452" s="1"/>
  <c r="AC45" i="452"/>
  <c r="AC47" i="452" s="1"/>
  <c r="AB45" i="452"/>
  <c r="AB60" i="452" s="1"/>
  <c r="AA45" i="452"/>
  <c r="Z45" i="452"/>
  <c r="Z47" i="452" s="1"/>
  <c r="Y45" i="452"/>
  <c r="Y47" i="452" s="1"/>
  <c r="X45" i="452"/>
  <c r="X60" i="452" s="1"/>
  <c r="W45" i="452"/>
  <c r="V45" i="452"/>
  <c r="V47" i="452" s="1"/>
  <c r="U45" i="452"/>
  <c r="U47" i="452" s="1"/>
  <c r="T45" i="452"/>
  <c r="T60" i="452" s="1"/>
  <c r="S45" i="452"/>
  <c r="R45" i="452"/>
  <c r="R47" i="452" s="1"/>
  <c r="Q45" i="452"/>
  <c r="Q47" i="452" s="1"/>
  <c r="P45" i="452"/>
  <c r="P60" i="452" s="1"/>
  <c r="O45" i="452"/>
  <c r="N45" i="452"/>
  <c r="N47" i="452" s="1"/>
  <c r="M45" i="452"/>
  <c r="M47" i="452" s="1"/>
  <c r="L45" i="452"/>
  <c r="L60" i="452" s="1"/>
  <c r="K45" i="452"/>
  <c r="J45" i="452"/>
  <c r="J47" i="452" s="1"/>
  <c r="I45" i="452"/>
  <c r="I47" i="452" s="1"/>
  <c r="H45" i="452"/>
  <c r="H60" i="452" s="1"/>
  <c r="G45" i="452"/>
  <c r="F45" i="452"/>
  <c r="F47" i="452" s="1"/>
  <c r="E45" i="452"/>
  <c r="E47" i="452" s="1"/>
  <c r="D45" i="452"/>
  <c r="D60" i="452" s="1"/>
  <c r="C45" i="452"/>
  <c r="B45" i="452"/>
  <c r="B47" i="452" s="1"/>
  <c r="AF44" i="452"/>
  <c r="AF43" i="452"/>
  <c r="AF42" i="452"/>
  <c r="AF41" i="452"/>
  <c r="AF40" i="452"/>
  <c r="AF39" i="452"/>
  <c r="AF38" i="452"/>
  <c r="AF37" i="452"/>
  <c r="AF36" i="452"/>
  <c r="AF35" i="452"/>
  <c r="AF32" i="452"/>
  <c r="AE32" i="452"/>
  <c r="AD32" i="452"/>
  <c r="AC32" i="452"/>
  <c r="AB32" i="452"/>
  <c r="AA32" i="452"/>
  <c r="Z32" i="452"/>
  <c r="Y32" i="452"/>
  <c r="X32" i="452"/>
  <c r="W32" i="452"/>
  <c r="V32" i="452"/>
  <c r="U32" i="452"/>
  <c r="T32" i="452"/>
  <c r="S32" i="452"/>
  <c r="R32" i="452"/>
  <c r="Q32" i="452"/>
  <c r="P32" i="452"/>
  <c r="O32" i="452"/>
  <c r="N32" i="452"/>
  <c r="M32" i="452"/>
  <c r="L32" i="452"/>
  <c r="K32" i="452"/>
  <c r="J32" i="452"/>
  <c r="I32" i="452"/>
  <c r="H32" i="452"/>
  <c r="G32" i="452"/>
  <c r="F32" i="452"/>
  <c r="E32" i="452"/>
  <c r="D32" i="452"/>
  <c r="C32" i="452"/>
  <c r="B32" i="452"/>
  <c r="AH32" i="452" s="1"/>
  <c r="AF30" i="452"/>
  <c r="AF29" i="452"/>
  <c r="AF28" i="452"/>
  <c r="AF27" i="452"/>
  <c r="AF26" i="452"/>
  <c r="AF25" i="452"/>
  <c r="AF23" i="452"/>
  <c r="AE23" i="452"/>
  <c r="AE114" i="452" s="1"/>
  <c r="AD23" i="452"/>
  <c r="AC23" i="452"/>
  <c r="AC114" i="452" s="1"/>
  <c r="AB23" i="452"/>
  <c r="AB114" i="452" s="1"/>
  <c r="AA23" i="452"/>
  <c r="AA114" i="452" s="1"/>
  <c r="Z23" i="452"/>
  <c r="Z114" i="452" s="1"/>
  <c r="Y23" i="452"/>
  <c r="Y114" i="452" s="1"/>
  <c r="X23" i="452"/>
  <c r="X114" i="452" s="1"/>
  <c r="W23" i="452"/>
  <c r="W114" i="452" s="1"/>
  <c r="V23" i="452"/>
  <c r="V114" i="452" s="1"/>
  <c r="U23" i="452"/>
  <c r="U114" i="452" s="1"/>
  <c r="T23" i="452"/>
  <c r="T114" i="452" s="1"/>
  <c r="S23" i="452"/>
  <c r="S114" i="452" s="1"/>
  <c r="R23" i="452"/>
  <c r="Q23" i="452"/>
  <c r="Q114" i="452" s="1"/>
  <c r="P23" i="452"/>
  <c r="P114" i="452" s="1"/>
  <c r="O23" i="452"/>
  <c r="O114" i="452" s="1"/>
  <c r="N23" i="452"/>
  <c r="M23" i="452"/>
  <c r="M114" i="452" s="1"/>
  <c r="L23" i="452"/>
  <c r="L114" i="452" s="1"/>
  <c r="K23" i="452"/>
  <c r="K114" i="452" s="1"/>
  <c r="J23" i="452"/>
  <c r="J114" i="452" s="1"/>
  <c r="I23" i="452"/>
  <c r="I114" i="452" s="1"/>
  <c r="H23" i="452"/>
  <c r="H114" i="452" s="1"/>
  <c r="G23" i="452"/>
  <c r="G114" i="452" s="1"/>
  <c r="F23" i="452"/>
  <c r="F114" i="452" s="1"/>
  <c r="E23" i="452"/>
  <c r="E114" i="452" s="1"/>
  <c r="D23" i="452"/>
  <c r="D114" i="452" s="1"/>
  <c r="C23" i="452"/>
  <c r="C114" i="452" s="1"/>
  <c r="B23" i="452"/>
  <c r="AF22" i="452"/>
  <c r="AF21" i="452"/>
  <c r="AF20" i="452"/>
  <c r="AF19" i="452"/>
  <c r="AF18" i="452"/>
  <c r="AF17" i="452"/>
  <c r="AF16" i="452"/>
  <c r="AF15" i="452"/>
  <c r="AF14" i="452"/>
  <c r="AF13" i="452"/>
  <c r="B12" i="452"/>
  <c r="AN10" i="452"/>
  <c r="AG10" i="452"/>
  <c r="AF10" i="452"/>
  <c r="C10" i="452"/>
  <c r="C12" i="452" s="1"/>
  <c r="C9" i="452"/>
  <c r="F7" i="452"/>
  <c r="B7" i="452"/>
  <c r="V6" i="452"/>
  <c r="U6" i="452"/>
  <c r="T6" i="452"/>
  <c r="S6" i="452"/>
  <c r="R6" i="452"/>
  <c r="Q6" i="452"/>
  <c r="B9" i="452" s="1"/>
  <c r="P6" i="452"/>
  <c r="F6" i="452"/>
  <c r="B6" i="452"/>
  <c r="P5" i="452"/>
  <c r="F5" i="452"/>
  <c r="B5" i="452"/>
  <c r="F4" i="452"/>
  <c r="B4" i="452"/>
  <c r="P3" i="452"/>
  <c r="F3" i="452"/>
  <c r="B3" i="452"/>
  <c r="P2" i="452"/>
  <c r="F2" i="452"/>
  <c r="B2" i="452"/>
  <c r="AP1" i="452"/>
  <c r="AN1" i="452"/>
  <c r="B1" i="452"/>
  <c r="A1" i="452"/>
  <c r="AG114" i="451"/>
  <c r="AG112" i="451"/>
  <c r="AF112" i="451"/>
  <c r="AE112" i="451"/>
  <c r="AD112" i="451"/>
  <c r="AC112" i="451"/>
  <c r="AB112" i="451"/>
  <c r="AA112" i="451"/>
  <c r="Z112" i="451"/>
  <c r="Y112" i="451"/>
  <c r="X112" i="451"/>
  <c r="W112" i="451"/>
  <c r="V112" i="451"/>
  <c r="U112" i="451"/>
  <c r="T112" i="451"/>
  <c r="S112" i="451"/>
  <c r="R112" i="451"/>
  <c r="Q112" i="451"/>
  <c r="P112" i="451"/>
  <c r="O112" i="451"/>
  <c r="N112" i="451"/>
  <c r="M112" i="451"/>
  <c r="L112" i="451"/>
  <c r="K112" i="451"/>
  <c r="J112" i="451"/>
  <c r="I112" i="451"/>
  <c r="H112" i="451"/>
  <c r="G112" i="451"/>
  <c r="F112" i="451"/>
  <c r="E112" i="451"/>
  <c r="D112" i="451"/>
  <c r="C112" i="451"/>
  <c r="B112" i="451"/>
  <c r="AI112" i="451" s="1"/>
  <c r="AI111" i="451"/>
  <c r="AI110" i="451"/>
  <c r="AI109" i="451"/>
  <c r="AI108" i="451"/>
  <c r="AI107" i="451"/>
  <c r="AI106" i="451"/>
  <c r="AI105" i="451"/>
  <c r="AI104" i="451"/>
  <c r="AI103" i="451"/>
  <c r="AI102" i="451"/>
  <c r="AI101" i="451"/>
  <c r="AI100" i="451"/>
  <c r="AI99" i="451"/>
  <c r="AI98" i="451"/>
  <c r="AI97" i="451"/>
  <c r="AI95" i="451"/>
  <c r="AG95" i="451"/>
  <c r="AI94" i="451"/>
  <c r="AG94" i="451"/>
  <c r="AI93" i="451"/>
  <c r="AG93" i="451"/>
  <c r="AI92" i="451"/>
  <c r="AG92" i="451"/>
  <c r="AI91" i="451"/>
  <c r="AG91" i="451"/>
  <c r="AI90" i="451"/>
  <c r="AG90" i="451"/>
  <c r="AI89" i="451"/>
  <c r="AG89" i="451"/>
  <c r="AI88" i="451"/>
  <c r="AG88" i="451"/>
  <c r="AI87" i="451"/>
  <c r="AG87" i="451"/>
  <c r="AI86" i="451"/>
  <c r="AG86" i="451"/>
  <c r="AI84" i="451"/>
  <c r="AG84" i="451"/>
  <c r="AG82" i="451"/>
  <c r="AG81" i="451"/>
  <c r="AG80" i="451"/>
  <c r="AG79" i="451"/>
  <c r="AG77" i="451"/>
  <c r="AG76" i="451"/>
  <c r="AG75" i="451"/>
  <c r="AG73" i="451"/>
  <c r="AG72" i="451"/>
  <c r="AI71" i="451"/>
  <c r="AG71" i="451"/>
  <c r="AG70" i="451"/>
  <c r="AG69" i="451"/>
  <c r="AI67" i="451"/>
  <c r="AI61" i="451"/>
  <c r="AG61" i="451"/>
  <c r="AG60" i="451"/>
  <c r="AG56" i="451"/>
  <c r="AG55" i="451"/>
  <c r="AG54" i="451"/>
  <c r="AG53" i="451"/>
  <c r="AG52" i="451"/>
  <c r="AG51" i="451"/>
  <c r="AG49" i="451"/>
  <c r="AG48" i="451"/>
  <c r="AG47" i="451"/>
  <c r="AE47" i="451"/>
  <c r="AE48" i="451" s="1"/>
  <c r="AC47" i="451"/>
  <c r="AA47" i="451"/>
  <c r="AA48" i="451" s="1"/>
  <c r="Y47" i="451"/>
  <c r="W47" i="451"/>
  <c r="W48" i="451" s="1"/>
  <c r="U47" i="451"/>
  <c r="S47" i="451"/>
  <c r="S48" i="451" s="1"/>
  <c r="Q47" i="451"/>
  <c r="O47" i="451"/>
  <c r="O48" i="451" s="1"/>
  <c r="M47" i="451"/>
  <c r="K47" i="451"/>
  <c r="K48" i="451" s="1"/>
  <c r="I47" i="451"/>
  <c r="G47" i="451"/>
  <c r="G48" i="451" s="1"/>
  <c r="E47" i="451"/>
  <c r="C47" i="451"/>
  <c r="C48" i="451" s="1"/>
  <c r="AG45" i="451"/>
  <c r="AF45" i="451"/>
  <c r="AF60" i="451" s="1"/>
  <c r="AE45" i="451"/>
  <c r="AE60" i="451" s="1"/>
  <c r="AD45" i="451"/>
  <c r="AC45" i="451"/>
  <c r="AC60" i="451" s="1"/>
  <c r="AB45" i="451"/>
  <c r="AB60" i="451" s="1"/>
  <c r="AA45" i="451"/>
  <c r="AA60" i="451" s="1"/>
  <c r="Z45" i="451"/>
  <c r="Y45" i="451"/>
  <c r="Y60" i="451" s="1"/>
  <c r="X45" i="451"/>
  <c r="X60" i="451" s="1"/>
  <c r="W45" i="451"/>
  <c r="W60" i="451" s="1"/>
  <c r="V45" i="451"/>
  <c r="U45" i="451"/>
  <c r="U60" i="451" s="1"/>
  <c r="T45" i="451"/>
  <c r="T60" i="451" s="1"/>
  <c r="S45" i="451"/>
  <c r="S60" i="451" s="1"/>
  <c r="R45" i="451"/>
  <c r="Q45" i="451"/>
  <c r="Q60" i="451" s="1"/>
  <c r="P45" i="451"/>
  <c r="P60" i="451" s="1"/>
  <c r="O45" i="451"/>
  <c r="O60" i="451" s="1"/>
  <c r="N45" i="451"/>
  <c r="M45" i="451"/>
  <c r="M60" i="451" s="1"/>
  <c r="L45" i="451"/>
  <c r="L60" i="451" s="1"/>
  <c r="K45" i="451"/>
  <c r="K60" i="451" s="1"/>
  <c r="J45" i="451"/>
  <c r="I45" i="451"/>
  <c r="I60" i="451" s="1"/>
  <c r="H45" i="451"/>
  <c r="H60" i="451" s="1"/>
  <c r="G45" i="451"/>
  <c r="G60" i="451" s="1"/>
  <c r="F45" i="451"/>
  <c r="E45" i="451"/>
  <c r="E60" i="451" s="1"/>
  <c r="D45" i="451"/>
  <c r="D60" i="451" s="1"/>
  <c r="C45" i="451"/>
  <c r="C60" i="451" s="1"/>
  <c r="B45" i="451"/>
  <c r="AG44" i="451"/>
  <c r="AG43" i="451"/>
  <c r="AG42" i="451"/>
  <c r="AG41" i="451"/>
  <c r="AG40" i="451"/>
  <c r="AG39" i="451"/>
  <c r="AG38" i="451"/>
  <c r="AG37" i="451"/>
  <c r="AG36" i="451"/>
  <c r="AG35" i="451"/>
  <c r="AG32" i="451"/>
  <c r="AF32" i="451"/>
  <c r="AE32" i="451"/>
  <c r="AD32" i="451"/>
  <c r="AC32" i="451"/>
  <c r="AB32" i="451"/>
  <c r="AA32" i="451"/>
  <c r="Z32" i="451"/>
  <c r="Y32" i="451"/>
  <c r="X32" i="451"/>
  <c r="W32" i="451"/>
  <c r="V32" i="451"/>
  <c r="U32" i="451"/>
  <c r="T32" i="451"/>
  <c r="S32" i="451"/>
  <c r="R32" i="451"/>
  <c r="Q32" i="451"/>
  <c r="P32" i="451"/>
  <c r="O32" i="451"/>
  <c r="N32" i="451"/>
  <c r="M32" i="451"/>
  <c r="L32" i="451"/>
  <c r="K32" i="451"/>
  <c r="J32" i="451"/>
  <c r="I32" i="451"/>
  <c r="H32" i="451"/>
  <c r="G32" i="451"/>
  <c r="F32" i="451"/>
  <c r="E32" i="451"/>
  <c r="D32" i="451"/>
  <c r="C32" i="451"/>
  <c r="B32" i="451"/>
  <c r="AI32" i="451" s="1"/>
  <c r="AG30" i="451"/>
  <c r="AG29" i="451"/>
  <c r="AG28" i="451"/>
  <c r="AG27" i="451"/>
  <c r="AG26" i="451"/>
  <c r="AG25" i="451"/>
  <c r="AG23" i="451"/>
  <c r="AF23" i="451"/>
  <c r="AF114" i="451" s="1"/>
  <c r="AE23" i="451"/>
  <c r="AE114" i="451" s="1"/>
  <c r="AD23" i="451"/>
  <c r="AD114" i="451" s="1"/>
  <c r="AC23" i="451"/>
  <c r="AC114" i="451" s="1"/>
  <c r="AB23" i="451"/>
  <c r="AB114" i="451" s="1"/>
  <c r="AA23" i="451"/>
  <c r="AA114" i="451" s="1"/>
  <c r="Z23" i="451"/>
  <c r="Z114" i="451" s="1"/>
  <c r="Y23" i="451"/>
  <c r="X23" i="451"/>
  <c r="X114" i="451" s="1"/>
  <c r="W23" i="451"/>
  <c r="W114" i="451" s="1"/>
  <c r="V23" i="451"/>
  <c r="V114" i="451" s="1"/>
  <c r="U23" i="451"/>
  <c r="T23" i="451"/>
  <c r="T114" i="451" s="1"/>
  <c r="S23" i="451"/>
  <c r="S114" i="451" s="1"/>
  <c r="R23" i="451"/>
  <c r="R114" i="451" s="1"/>
  <c r="Q23" i="451"/>
  <c r="P23" i="451"/>
  <c r="P114" i="451" s="1"/>
  <c r="O23" i="451"/>
  <c r="O114" i="451" s="1"/>
  <c r="N23" i="451"/>
  <c r="N114" i="451" s="1"/>
  <c r="M23" i="451"/>
  <c r="M114" i="451" s="1"/>
  <c r="L23" i="451"/>
  <c r="L114" i="451" s="1"/>
  <c r="K23" i="451"/>
  <c r="K114" i="451" s="1"/>
  <c r="J23" i="451"/>
  <c r="J114" i="451" s="1"/>
  <c r="I23" i="451"/>
  <c r="H23" i="451"/>
  <c r="H114" i="451" s="1"/>
  <c r="G23" i="451"/>
  <c r="G114" i="451" s="1"/>
  <c r="F23" i="451"/>
  <c r="F114" i="451" s="1"/>
  <c r="E23" i="451"/>
  <c r="D23" i="451"/>
  <c r="D114" i="451" s="1"/>
  <c r="C23" i="451"/>
  <c r="C114" i="451" s="1"/>
  <c r="B23" i="451"/>
  <c r="B114" i="451" s="1"/>
  <c r="AG22" i="451"/>
  <c r="AG21" i="451"/>
  <c r="AG20" i="451"/>
  <c r="AG19" i="451"/>
  <c r="AG18" i="451"/>
  <c r="AG17" i="451"/>
  <c r="AG16" i="451"/>
  <c r="AG15" i="451"/>
  <c r="AG14" i="451"/>
  <c r="AG13" i="451"/>
  <c r="B12" i="451"/>
  <c r="AO10" i="451"/>
  <c r="AH10" i="451"/>
  <c r="AG10" i="451"/>
  <c r="C10" i="451"/>
  <c r="F7" i="451"/>
  <c r="B7" i="451"/>
  <c r="V6" i="451"/>
  <c r="U6" i="451"/>
  <c r="B9" i="451" s="1"/>
  <c r="T6" i="451"/>
  <c r="S6" i="451"/>
  <c r="R6" i="451"/>
  <c r="Q6" i="451"/>
  <c r="P6" i="451"/>
  <c r="F6" i="451"/>
  <c r="B6" i="451"/>
  <c r="P5" i="451"/>
  <c r="F5" i="451"/>
  <c r="B5" i="451"/>
  <c r="F4" i="451"/>
  <c r="B4" i="451"/>
  <c r="P3" i="451"/>
  <c r="F3" i="451"/>
  <c r="B3" i="451"/>
  <c r="P2" i="451"/>
  <c r="F2" i="451"/>
  <c r="B2" i="451"/>
  <c r="AQ1" i="451"/>
  <c r="AO1" i="451"/>
  <c r="B1" i="451"/>
  <c r="A1" i="451"/>
  <c r="AG114" i="450"/>
  <c r="AG112" i="450"/>
  <c r="AF112" i="450"/>
  <c r="AE112" i="450"/>
  <c r="AD112" i="450"/>
  <c r="AC112" i="450"/>
  <c r="AB112" i="450"/>
  <c r="AA112" i="450"/>
  <c r="Z112" i="450"/>
  <c r="Y112" i="450"/>
  <c r="X112" i="450"/>
  <c r="W112" i="450"/>
  <c r="V112" i="450"/>
  <c r="U112" i="450"/>
  <c r="T112" i="450"/>
  <c r="S112" i="450"/>
  <c r="R112" i="450"/>
  <c r="Q112" i="450"/>
  <c r="P112" i="450"/>
  <c r="O112" i="450"/>
  <c r="N112" i="450"/>
  <c r="M112" i="450"/>
  <c r="L112" i="450"/>
  <c r="K112" i="450"/>
  <c r="J112" i="450"/>
  <c r="I112" i="450"/>
  <c r="H112" i="450"/>
  <c r="G112" i="450"/>
  <c r="F112" i="450"/>
  <c r="E112" i="450"/>
  <c r="D112" i="450"/>
  <c r="C112" i="450"/>
  <c r="B112" i="450"/>
  <c r="AI112" i="450" s="1"/>
  <c r="AI111" i="450"/>
  <c r="AI110" i="450"/>
  <c r="AI109" i="450"/>
  <c r="AI108" i="450"/>
  <c r="AI107" i="450"/>
  <c r="AI106" i="450"/>
  <c r="AI105" i="450"/>
  <c r="AI104" i="450"/>
  <c r="AI103" i="450"/>
  <c r="AI102" i="450"/>
  <c r="AI101" i="450"/>
  <c r="AI100" i="450"/>
  <c r="AI99" i="450"/>
  <c r="AI98" i="450"/>
  <c r="AI97" i="450"/>
  <c r="AI95" i="450"/>
  <c r="AG95" i="450"/>
  <c r="AI94" i="450"/>
  <c r="AG94" i="450"/>
  <c r="AI93" i="450"/>
  <c r="AG93" i="450"/>
  <c r="AI92" i="450"/>
  <c r="AG92" i="450"/>
  <c r="AI91" i="450"/>
  <c r="AG91" i="450"/>
  <c r="AI90" i="450"/>
  <c r="AG90" i="450"/>
  <c r="AI89" i="450"/>
  <c r="AG89" i="450"/>
  <c r="AI88" i="450"/>
  <c r="AG88" i="450"/>
  <c r="AI87" i="450"/>
  <c r="AG87" i="450"/>
  <c r="AI86" i="450"/>
  <c r="AG86" i="450"/>
  <c r="AI84" i="450"/>
  <c r="AG84" i="450"/>
  <c r="AG82" i="450"/>
  <c r="AG81" i="450"/>
  <c r="AG80" i="450"/>
  <c r="AG79" i="450"/>
  <c r="AG77" i="450"/>
  <c r="AG76" i="450"/>
  <c r="AG75" i="450"/>
  <c r="AG73" i="450"/>
  <c r="AG72" i="450"/>
  <c r="AI71" i="450"/>
  <c r="AG71" i="450"/>
  <c r="AG70" i="450"/>
  <c r="AG69" i="450"/>
  <c r="AI67" i="450"/>
  <c r="AI61" i="450"/>
  <c r="AG61" i="450"/>
  <c r="AG60" i="450"/>
  <c r="AG56" i="450"/>
  <c r="AG55" i="450"/>
  <c r="AG54" i="450"/>
  <c r="AG53" i="450"/>
  <c r="AG52" i="450"/>
  <c r="AG51" i="450"/>
  <c r="AG49" i="450"/>
  <c r="AG48" i="450"/>
  <c r="AG47" i="450"/>
  <c r="AF47" i="450"/>
  <c r="AF48" i="450" s="1"/>
  <c r="AD47" i="450"/>
  <c r="AB47" i="450"/>
  <c r="AB48" i="450" s="1"/>
  <c r="Z47" i="450"/>
  <c r="X47" i="450"/>
  <c r="X48" i="450" s="1"/>
  <c r="V47" i="450"/>
  <c r="T47" i="450"/>
  <c r="T48" i="450" s="1"/>
  <c r="R47" i="450"/>
  <c r="P47" i="450"/>
  <c r="P48" i="450" s="1"/>
  <c r="N47" i="450"/>
  <c r="L47" i="450"/>
  <c r="L48" i="450" s="1"/>
  <c r="J47" i="450"/>
  <c r="H47" i="450"/>
  <c r="H48" i="450" s="1"/>
  <c r="F47" i="450"/>
  <c r="D47" i="450"/>
  <c r="D48" i="450" s="1"/>
  <c r="B47" i="450"/>
  <c r="AG45" i="450"/>
  <c r="AF45" i="450"/>
  <c r="AF60" i="450" s="1"/>
  <c r="AE45" i="450"/>
  <c r="AD45" i="450"/>
  <c r="AD60" i="450" s="1"/>
  <c r="AC45" i="450"/>
  <c r="AC60" i="450" s="1"/>
  <c r="AB45" i="450"/>
  <c r="AB60" i="450" s="1"/>
  <c r="AA45" i="450"/>
  <c r="Z45" i="450"/>
  <c r="Z60" i="450" s="1"/>
  <c r="Y45" i="450"/>
  <c r="Y60" i="450" s="1"/>
  <c r="X45" i="450"/>
  <c r="X60" i="450" s="1"/>
  <c r="W45" i="450"/>
  <c r="V45" i="450"/>
  <c r="V60" i="450" s="1"/>
  <c r="U45" i="450"/>
  <c r="U60" i="450" s="1"/>
  <c r="T45" i="450"/>
  <c r="T60" i="450" s="1"/>
  <c r="S45" i="450"/>
  <c r="R45" i="450"/>
  <c r="R60" i="450" s="1"/>
  <c r="Q45" i="450"/>
  <c r="Q60" i="450" s="1"/>
  <c r="P45" i="450"/>
  <c r="P60" i="450" s="1"/>
  <c r="O45" i="450"/>
  <c r="N45" i="450"/>
  <c r="N60" i="450" s="1"/>
  <c r="M45" i="450"/>
  <c r="M60" i="450" s="1"/>
  <c r="L45" i="450"/>
  <c r="L60" i="450" s="1"/>
  <c r="K45" i="450"/>
  <c r="J45" i="450"/>
  <c r="J60" i="450" s="1"/>
  <c r="I45" i="450"/>
  <c r="I60" i="450" s="1"/>
  <c r="H45" i="450"/>
  <c r="H60" i="450" s="1"/>
  <c r="G45" i="450"/>
  <c r="F45" i="450"/>
  <c r="F60" i="450" s="1"/>
  <c r="E45" i="450"/>
  <c r="E60" i="450" s="1"/>
  <c r="D45" i="450"/>
  <c r="D60" i="450" s="1"/>
  <c r="C45" i="450"/>
  <c r="B45" i="450"/>
  <c r="B60" i="450" s="1"/>
  <c r="AG44" i="450"/>
  <c r="AG43" i="450"/>
  <c r="AG42" i="450"/>
  <c r="AG41" i="450"/>
  <c r="AG40" i="450"/>
  <c r="AG39" i="450"/>
  <c r="AG38" i="450"/>
  <c r="AG37" i="450"/>
  <c r="AG36" i="450"/>
  <c r="AG35" i="450"/>
  <c r="AG32" i="450"/>
  <c r="AF32" i="450"/>
  <c r="AE32" i="450"/>
  <c r="AD32" i="450"/>
  <c r="AC32" i="450"/>
  <c r="AB32" i="450"/>
  <c r="AA32" i="450"/>
  <c r="Z32" i="450"/>
  <c r="Y32" i="450"/>
  <c r="X32" i="450"/>
  <c r="W32" i="450"/>
  <c r="V32" i="450"/>
  <c r="U32" i="450"/>
  <c r="T32" i="450"/>
  <c r="S32" i="450"/>
  <c r="R32" i="450"/>
  <c r="Q32" i="450"/>
  <c r="P32" i="450"/>
  <c r="O32" i="450"/>
  <c r="N32" i="450"/>
  <c r="M32" i="450"/>
  <c r="L32" i="450"/>
  <c r="K32" i="450"/>
  <c r="J32" i="450"/>
  <c r="I32" i="450"/>
  <c r="H32" i="450"/>
  <c r="G32" i="450"/>
  <c r="F32" i="450"/>
  <c r="E32" i="450"/>
  <c r="D32" i="450"/>
  <c r="C32" i="450"/>
  <c r="B32" i="450"/>
  <c r="AI32" i="450" s="1"/>
  <c r="AG30" i="450"/>
  <c r="AG29" i="450"/>
  <c r="AG28" i="450"/>
  <c r="AG27" i="450"/>
  <c r="AG26" i="450"/>
  <c r="AG25" i="450"/>
  <c r="AG23" i="450"/>
  <c r="AF23" i="450"/>
  <c r="AF114" i="450" s="1"/>
  <c r="AE23" i="450"/>
  <c r="AE114" i="450" s="1"/>
  <c r="AD23" i="450"/>
  <c r="AD114" i="450" s="1"/>
  <c r="AC23" i="450"/>
  <c r="AC114" i="450" s="1"/>
  <c r="AB23" i="450"/>
  <c r="AB114" i="450" s="1"/>
  <c r="AA23" i="450"/>
  <c r="AA114" i="450" s="1"/>
  <c r="Z23" i="450"/>
  <c r="Z114" i="450" s="1"/>
  <c r="Y23" i="450"/>
  <c r="Y114" i="450" s="1"/>
  <c r="X23" i="450"/>
  <c r="X114" i="450" s="1"/>
  <c r="W23" i="450"/>
  <c r="W114" i="450" s="1"/>
  <c r="V23" i="450"/>
  <c r="V114" i="450" s="1"/>
  <c r="U23" i="450"/>
  <c r="U114" i="450" s="1"/>
  <c r="T23" i="450"/>
  <c r="T114" i="450" s="1"/>
  <c r="S23" i="450"/>
  <c r="S114" i="450" s="1"/>
  <c r="R23" i="450"/>
  <c r="R114" i="450" s="1"/>
  <c r="Q23" i="450"/>
  <c r="Q114" i="450" s="1"/>
  <c r="P23" i="450"/>
  <c r="P114" i="450" s="1"/>
  <c r="O23" i="450"/>
  <c r="O114" i="450" s="1"/>
  <c r="N23" i="450"/>
  <c r="N114" i="450" s="1"/>
  <c r="M23" i="450"/>
  <c r="M114" i="450" s="1"/>
  <c r="L23" i="450"/>
  <c r="L114" i="450" s="1"/>
  <c r="K23" i="450"/>
  <c r="K114" i="450" s="1"/>
  <c r="J23" i="450"/>
  <c r="J114" i="450" s="1"/>
  <c r="I23" i="450"/>
  <c r="I114" i="450" s="1"/>
  <c r="H23" i="450"/>
  <c r="H114" i="450" s="1"/>
  <c r="G23" i="450"/>
  <c r="G114" i="450" s="1"/>
  <c r="F23" i="450"/>
  <c r="F114" i="450" s="1"/>
  <c r="E23" i="450"/>
  <c r="E114" i="450" s="1"/>
  <c r="D23" i="450"/>
  <c r="D114" i="450" s="1"/>
  <c r="C23" i="450"/>
  <c r="C114" i="450" s="1"/>
  <c r="B23" i="450"/>
  <c r="B114" i="450" s="1"/>
  <c r="AG22" i="450"/>
  <c r="AG21" i="450"/>
  <c r="AG20" i="450"/>
  <c r="AG19" i="450"/>
  <c r="AG18" i="450"/>
  <c r="AG17" i="450"/>
  <c r="AG16" i="450"/>
  <c r="AG15" i="450"/>
  <c r="AG14" i="450"/>
  <c r="AG13" i="450"/>
  <c r="B12" i="450"/>
  <c r="AO10" i="450"/>
  <c r="AH10" i="450"/>
  <c r="AG10" i="450"/>
  <c r="C10" i="450"/>
  <c r="B9" i="450"/>
  <c r="F7" i="450"/>
  <c r="B7" i="450"/>
  <c r="V6" i="450"/>
  <c r="U6" i="450"/>
  <c r="T6" i="450"/>
  <c r="S6" i="450"/>
  <c r="R6" i="450"/>
  <c r="Q6" i="450"/>
  <c r="P6" i="450"/>
  <c r="F6" i="450"/>
  <c r="B6" i="450"/>
  <c r="P5" i="450"/>
  <c r="F5" i="450"/>
  <c r="B5" i="450"/>
  <c r="F4" i="450"/>
  <c r="B4" i="450"/>
  <c r="P3" i="450"/>
  <c r="F3" i="450"/>
  <c r="B3" i="450"/>
  <c r="P2" i="450"/>
  <c r="F2" i="450"/>
  <c r="B2" i="450"/>
  <c r="AQ1" i="450"/>
  <c r="AO1" i="450"/>
  <c r="B1" i="450"/>
  <c r="A1" i="450"/>
  <c r="AF114" i="449"/>
  <c r="AF112" i="449"/>
  <c r="AE112" i="449"/>
  <c r="AD112" i="449"/>
  <c r="AC112" i="449"/>
  <c r="AB112" i="449"/>
  <c r="AA112" i="449"/>
  <c r="Z112" i="449"/>
  <c r="Y112" i="449"/>
  <c r="X112" i="449"/>
  <c r="W112" i="449"/>
  <c r="V112" i="449"/>
  <c r="U112" i="449"/>
  <c r="T112" i="449"/>
  <c r="S112" i="449"/>
  <c r="R112" i="449"/>
  <c r="Q112" i="449"/>
  <c r="P112" i="449"/>
  <c r="O112" i="449"/>
  <c r="N112" i="449"/>
  <c r="M112" i="449"/>
  <c r="L112" i="449"/>
  <c r="K112" i="449"/>
  <c r="J112" i="449"/>
  <c r="I112" i="449"/>
  <c r="H112" i="449"/>
  <c r="G112" i="449"/>
  <c r="F112" i="449"/>
  <c r="E112" i="449"/>
  <c r="D112" i="449"/>
  <c r="C112" i="449"/>
  <c r="AH112" i="449" s="1"/>
  <c r="B112" i="449"/>
  <c r="AH111" i="449"/>
  <c r="AH110" i="449"/>
  <c r="AH109" i="449"/>
  <c r="AH108" i="449"/>
  <c r="AH107" i="449"/>
  <c r="AH106" i="449"/>
  <c r="AH105" i="449"/>
  <c r="AH104" i="449"/>
  <c r="AH103" i="449"/>
  <c r="AH102" i="449"/>
  <c r="AH101" i="449"/>
  <c r="AH100" i="449"/>
  <c r="AH99" i="449"/>
  <c r="AH98" i="449"/>
  <c r="AH97" i="449"/>
  <c r="AH95" i="449"/>
  <c r="AF95" i="449"/>
  <c r="AH94" i="449"/>
  <c r="AF94" i="449"/>
  <c r="AH93" i="449"/>
  <c r="AF93" i="449"/>
  <c r="AH92" i="449"/>
  <c r="AF92" i="449"/>
  <c r="AH91" i="449"/>
  <c r="AF91" i="449"/>
  <c r="AH90" i="449"/>
  <c r="AF90" i="449"/>
  <c r="AH89" i="449"/>
  <c r="AF89" i="449"/>
  <c r="AH88" i="449"/>
  <c r="AF88" i="449"/>
  <c r="AH87" i="449"/>
  <c r="AF87" i="449"/>
  <c r="AH86" i="449"/>
  <c r="AF86" i="449"/>
  <c r="AH84" i="449"/>
  <c r="AF84" i="449"/>
  <c r="AF82" i="449"/>
  <c r="AF81" i="449"/>
  <c r="AF80" i="449"/>
  <c r="AF79" i="449"/>
  <c r="AF77" i="449"/>
  <c r="AF76" i="449"/>
  <c r="AF75" i="449"/>
  <c r="AF73" i="449"/>
  <c r="AF72" i="449"/>
  <c r="AH71" i="449"/>
  <c r="AF71" i="449"/>
  <c r="AF70" i="449"/>
  <c r="AF69" i="449"/>
  <c r="AH67" i="449"/>
  <c r="AH61" i="449"/>
  <c r="AF61" i="449"/>
  <c r="AF60" i="449"/>
  <c r="AF56" i="449"/>
  <c r="AF55" i="449"/>
  <c r="AF54" i="449"/>
  <c r="AF53" i="449"/>
  <c r="AF52" i="449"/>
  <c r="AF51" i="449"/>
  <c r="AF49" i="449"/>
  <c r="AF48" i="449"/>
  <c r="AF47" i="449"/>
  <c r="AF45" i="449"/>
  <c r="AE45" i="449"/>
  <c r="AE47" i="449" s="1"/>
  <c r="AD45" i="449"/>
  <c r="AD47" i="449" s="1"/>
  <c r="AC45" i="449"/>
  <c r="AC60" i="449" s="1"/>
  <c r="AB45" i="449"/>
  <c r="AA45" i="449"/>
  <c r="AA47" i="449" s="1"/>
  <c r="Z45" i="449"/>
  <c r="Z47" i="449" s="1"/>
  <c r="Y45" i="449"/>
  <c r="Y60" i="449" s="1"/>
  <c r="X45" i="449"/>
  <c r="W45" i="449"/>
  <c r="W47" i="449" s="1"/>
  <c r="V45" i="449"/>
  <c r="V47" i="449" s="1"/>
  <c r="U45" i="449"/>
  <c r="U60" i="449" s="1"/>
  <c r="T45" i="449"/>
  <c r="S45" i="449"/>
  <c r="S47" i="449" s="1"/>
  <c r="R45" i="449"/>
  <c r="R47" i="449" s="1"/>
  <c r="Q45" i="449"/>
  <c r="Q60" i="449" s="1"/>
  <c r="P45" i="449"/>
  <c r="O45" i="449"/>
  <c r="O47" i="449" s="1"/>
  <c r="N45" i="449"/>
  <c r="N47" i="449" s="1"/>
  <c r="M45" i="449"/>
  <c r="M60" i="449" s="1"/>
  <c r="L45" i="449"/>
  <c r="K45" i="449"/>
  <c r="K47" i="449" s="1"/>
  <c r="J45" i="449"/>
  <c r="J47" i="449" s="1"/>
  <c r="I45" i="449"/>
  <c r="I60" i="449" s="1"/>
  <c r="H45" i="449"/>
  <c r="G45" i="449"/>
  <c r="G47" i="449" s="1"/>
  <c r="F45" i="449"/>
  <c r="F47" i="449" s="1"/>
  <c r="E45" i="449"/>
  <c r="E60" i="449" s="1"/>
  <c r="D45" i="449"/>
  <c r="C45" i="449"/>
  <c r="C47" i="449" s="1"/>
  <c r="B45" i="449"/>
  <c r="B47" i="449" s="1"/>
  <c r="AF44" i="449"/>
  <c r="AF43" i="449"/>
  <c r="AF42" i="449"/>
  <c r="AF41" i="449"/>
  <c r="AF40" i="449"/>
  <c r="AF39" i="449"/>
  <c r="AF38" i="449"/>
  <c r="AF37" i="449"/>
  <c r="AF36" i="449"/>
  <c r="AF35" i="449"/>
  <c r="AF32" i="449"/>
  <c r="AE32" i="449"/>
  <c r="AD32" i="449"/>
  <c r="AC32" i="449"/>
  <c r="AB32" i="449"/>
  <c r="AA32" i="449"/>
  <c r="Z32" i="449"/>
  <c r="Y32" i="449"/>
  <c r="X32" i="449"/>
  <c r="W32" i="449"/>
  <c r="V32" i="449"/>
  <c r="U32" i="449"/>
  <c r="T32" i="449"/>
  <c r="S32" i="449"/>
  <c r="R32" i="449"/>
  <c r="Q32" i="449"/>
  <c r="P32" i="449"/>
  <c r="O32" i="449"/>
  <c r="N32" i="449"/>
  <c r="M32" i="449"/>
  <c r="L32" i="449"/>
  <c r="K32" i="449"/>
  <c r="J32" i="449"/>
  <c r="I32" i="449"/>
  <c r="H32" i="449"/>
  <c r="G32" i="449"/>
  <c r="F32" i="449"/>
  <c r="E32" i="449"/>
  <c r="D32" i="449"/>
  <c r="C32" i="449"/>
  <c r="B32" i="449"/>
  <c r="AH32" i="449" s="1"/>
  <c r="AF30" i="449"/>
  <c r="AF29" i="449"/>
  <c r="AF28" i="449"/>
  <c r="AF27" i="449"/>
  <c r="AF26" i="449"/>
  <c r="AF25" i="449"/>
  <c r="AF23" i="449"/>
  <c r="AE23" i="449"/>
  <c r="AD23" i="449"/>
  <c r="AC23" i="449"/>
  <c r="AC114" i="449" s="1"/>
  <c r="AB23" i="449"/>
  <c r="AB114" i="449" s="1"/>
  <c r="AA23" i="449"/>
  <c r="AA114" i="449" s="1"/>
  <c r="Z23" i="449"/>
  <c r="Z114" i="449" s="1"/>
  <c r="Y23" i="449"/>
  <c r="Y114" i="449" s="1"/>
  <c r="X23" i="449"/>
  <c r="X114" i="449" s="1"/>
  <c r="W23" i="449"/>
  <c r="W114" i="449" s="1"/>
  <c r="V23" i="449"/>
  <c r="V114" i="449" s="1"/>
  <c r="U23" i="449"/>
  <c r="U114" i="449" s="1"/>
  <c r="T23" i="449"/>
  <c r="T114" i="449" s="1"/>
  <c r="S23" i="449"/>
  <c r="R23" i="449"/>
  <c r="R114" i="449" s="1"/>
  <c r="Q23" i="449"/>
  <c r="Q114" i="449" s="1"/>
  <c r="P23" i="449"/>
  <c r="P114" i="449" s="1"/>
  <c r="O23" i="449"/>
  <c r="N23" i="449"/>
  <c r="M23" i="449"/>
  <c r="M114" i="449" s="1"/>
  <c r="L23" i="449"/>
  <c r="L114" i="449" s="1"/>
  <c r="K23" i="449"/>
  <c r="K114" i="449" s="1"/>
  <c r="J23" i="449"/>
  <c r="J114" i="449" s="1"/>
  <c r="I23" i="449"/>
  <c r="I114" i="449" s="1"/>
  <c r="H23" i="449"/>
  <c r="H114" i="449" s="1"/>
  <c r="G23" i="449"/>
  <c r="G114" i="449" s="1"/>
  <c r="F23" i="449"/>
  <c r="F114" i="449" s="1"/>
  <c r="E23" i="449"/>
  <c r="E114" i="449" s="1"/>
  <c r="D23" i="449"/>
  <c r="D114" i="449" s="1"/>
  <c r="C23" i="449"/>
  <c r="B23" i="449"/>
  <c r="B114" i="449" s="1"/>
  <c r="AF22" i="449"/>
  <c r="AF21" i="449"/>
  <c r="AF20" i="449"/>
  <c r="AF19" i="449"/>
  <c r="AF18" i="449"/>
  <c r="AF17" i="449"/>
  <c r="AF16" i="449"/>
  <c r="AF15" i="449"/>
  <c r="AF14" i="449"/>
  <c r="AF13" i="449"/>
  <c r="B12" i="449"/>
  <c r="AN10" i="449"/>
  <c r="AG10" i="449"/>
  <c r="AF10" i="449"/>
  <c r="C10" i="449"/>
  <c r="C9" i="449"/>
  <c r="B9" i="449"/>
  <c r="F7" i="449"/>
  <c r="B7" i="449"/>
  <c r="V6" i="449"/>
  <c r="U6" i="449"/>
  <c r="T6" i="449"/>
  <c r="S6" i="449"/>
  <c r="R6" i="449"/>
  <c r="Q6" i="449"/>
  <c r="P6" i="449"/>
  <c r="F6" i="449"/>
  <c r="B6" i="449"/>
  <c r="P5" i="449"/>
  <c r="F5" i="449"/>
  <c r="B5" i="449"/>
  <c r="F4" i="449"/>
  <c r="B4" i="449"/>
  <c r="P3" i="449"/>
  <c r="F3" i="449"/>
  <c r="B3" i="449"/>
  <c r="P2" i="449"/>
  <c r="F2" i="449"/>
  <c r="B2" i="449"/>
  <c r="AP1" i="449"/>
  <c r="AN1" i="449"/>
  <c r="B1" i="449"/>
  <c r="A1" i="449"/>
  <c r="AG114" i="448"/>
  <c r="AG112" i="448"/>
  <c r="AF112" i="448"/>
  <c r="AE112" i="448"/>
  <c r="AD112" i="448"/>
  <c r="AC112" i="448"/>
  <c r="AB112" i="448"/>
  <c r="AA112" i="448"/>
  <c r="Z112" i="448"/>
  <c r="Y112" i="448"/>
  <c r="X112" i="448"/>
  <c r="W112" i="448"/>
  <c r="V112" i="448"/>
  <c r="U112" i="448"/>
  <c r="T112" i="448"/>
  <c r="S112" i="448"/>
  <c r="R112" i="448"/>
  <c r="Q112" i="448"/>
  <c r="P112" i="448"/>
  <c r="O112" i="448"/>
  <c r="N112" i="448"/>
  <c r="M112" i="448"/>
  <c r="L112" i="448"/>
  <c r="K112" i="448"/>
  <c r="J112" i="448"/>
  <c r="I112" i="448"/>
  <c r="H112" i="448"/>
  <c r="G112" i="448"/>
  <c r="F112" i="448"/>
  <c r="E112" i="448"/>
  <c r="D112" i="448"/>
  <c r="C112" i="448"/>
  <c r="B112" i="448"/>
  <c r="AI111" i="448"/>
  <c r="AI110" i="448"/>
  <c r="AI109" i="448"/>
  <c r="AI108" i="448"/>
  <c r="AI107" i="448"/>
  <c r="AI106" i="448"/>
  <c r="AI105" i="448"/>
  <c r="AI104" i="448"/>
  <c r="AI103" i="448"/>
  <c r="AI102" i="448"/>
  <c r="AI101" i="448"/>
  <c r="AI100" i="448"/>
  <c r="AI99" i="448"/>
  <c r="AI98" i="448"/>
  <c r="AI97" i="448"/>
  <c r="AI95" i="448"/>
  <c r="AG95" i="448"/>
  <c r="AI94" i="448"/>
  <c r="AG94" i="448"/>
  <c r="AI93" i="448"/>
  <c r="AG93" i="448"/>
  <c r="AI92" i="448"/>
  <c r="AG92" i="448"/>
  <c r="AI91" i="448"/>
  <c r="AG91" i="448"/>
  <c r="AI90" i="448"/>
  <c r="AG90" i="448"/>
  <c r="AI89" i="448"/>
  <c r="AG89" i="448"/>
  <c r="AI88" i="448"/>
  <c r="AG88" i="448"/>
  <c r="AI87" i="448"/>
  <c r="AG87" i="448"/>
  <c r="AI86" i="448"/>
  <c r="AG86" i="448"/>
  <c r="AI84" i="448"/>
  <c r="AG84" i="448"/>
  <c r="AG82" i="448"/>
  <c r="AG81" i="448"/>
  <c r="AG80" i="448"/>
  <c r="AG79" i="448"/>
  <c r="AG77" i="448"/>
  <c r="AG76" i="448"/>
  <c r="AG75" i="448"/>
  <c r="AG73" i="448"/>
  <c r="AG72" i="448"/>
  <c r="AI71" i="448"/>
  <c r="AG71" i="448"/>
  <c r="AG70" i="448"/>
  <c r="AG69" i="448"/>
  <c r="AI67" i="448"/>
  <c r="AI61" i="448"/>
  <c r="AG61" i="448"/>
  <c r="AG60" i="448"/>
  <c r="AG56" i="448"/>
  <c r="AG55" i="448"/>
  <c r="AG54" i="448"/>
  <c r="AG53" i="448"/>
  <c r="AG52" i="448"/>
  <c r="AN51" i="448"/>
  <c r="AG51" i="448"/>
  <c r="AG49" i="448"/>
  <c r="AG48" i="448"/>
  <c r="AG47" i="448"/>
  <c r="AF47" i="448"/>
  <c r="AD47" i="448"/>
  <c r="AB47" i="448"/>
  <c r="Z47" i="448"/>
  <c r="X47" i="448"/>
  <c r="V47" i="448"/>
  <c r="T47" i="448"/>
  <c r="P47" i="448"/>
  <c r="L47" i="448"/>
  <c r="H47" i="448"/>
  <c r="D47" i="448"/>
  <c r="AG45" i="448"/>
  <c r="AF45" i="448"/>
  <c r="AF60" i="448" s="1"/>
  <c r="AE45" i="448"/>
  <c r="AD45" i="448"/>
  <c r="AD60" i="448" s="1"/>
  <c r="AC45" i="448"/>
  <c r="AB45" i="448"/>
  <c r="AB60" i="448" s="1"/>
  <c r="AA45" i="448"/>
  <c r="Z45" i="448"/>
  <c r="Z60" i="448" s="1"/>
  <c r="Y45" i="448"/>
  <c r="X45" i="448"/>
  <c r="X60" i="448" s="1"/>
  <c r="W45" i="448"/>
  <c r="V45" i="448"/>
  <c r="V60" i="448" s="1"/>
  <c r="U45" i="448"/>
  <c r="T45" i="448"/>
  <c r="T60" i="448" s="1"/>
  <c r="S45" i="448"/>
  <c r="R45" i="448"/>
  <c r="R60" i="448" s="1"/>
  <c r="Q45" i="448"/>
  <c r="P45" i="448"/>
  <c r="P60" i="448" s="1"/>
  <c r="O45" i="448"/>
  <c r="N45" i="448"/>
  <c r="N60" i="448" s="1"/>
  <c r="M45" i="448"/>
  <c r="L45" i="448"/>
  <c r="L60" i="448" s="1"/>
  <c r="K45" i="448"/>
  <c r="J45" i="448"/>
  <c r="J60" i="448" s="1"/>
  <c r="I45" i="448"/>
  <c r="H45" i="448"/>
  <c r="H60" i="448" s="1"/>
  <c r="G45" i="448"/>
  <c r="F45" i="448"/>
  <c r="F60" i="448" s="1"/>
  <c r="E45" i="448"/>
  <c r="D45" i="448"/>
  <c r="D60" i="448" s="1"/>
  <c r="C45" i="448"/>
  <c r="B45" i="448"/>
  <c r="B60" i="448" s="1"/>
  <c r="AG44" i="448"/>
  <c r="AG43" i="448"/>
  <c r="AG42" i="448"/>
  <c r="AG41" i="448"/>
  <c r="AG40" i="448"/>
  <c r="AG39" i="448"/>
  <c r="AG38" i="448"/>
  <c r="AG37" i="448"/>
  <c r="AG36" i="448"/>
  <c r="AG35" i="448"/>
  <c r="AG32" i="448"/>
  <c r="AF32" i="448"/>
  <c r="AE32" i="448"/>
  <c r="AD32" i="448"/>
  <c r="AC32" i="448"/>
  <c r="AB32" i="448"/>
  <c r="AA32" i="448"/>
  <c r="Z32" i="448"/>
  <c r="Y32" i="448"/>
  <c r="X32" i="448"/>
  <c r="W32" i="448"/>
  <c r="V32" i="448"/>
  <c r="U32" i="448"/>
  <c r="T32" i="448"/>
  <c r="S32" i="448"/>
  <c r="R32" i="448"/>
  <c r="Q32" i="448"/>
  <c r="P32" i="448"/>
  <c r="O32" i="448"/>
  <c r="N32" i="448"/>
  <c r="M32" i="448"/>
  <c r="L32" i="448"/>
  <c r="K32" i="448"/>
  <c r="J32" i="448"/>
  <c r="I32" i="448"/>
  <c r="H32" i="448"/>
  <c r="G32" i="448"/>
  <c r="F32" i="448"/>
  <c r="E32" i="448"/>
  <c r="D32" i="448"/>
  <c r="C32" i="448"/>
  <c r="B32" i="448"/>
  <c r="AI32" i="448" s="1"/>
  <c r="AG30" i="448"/>
  <c r="AG29" i="448"/>
  <c r="AG28" i="448"/>
  <c r="AG27" i="448"/>
  <c r="AG26" i="448"/>
  <c r="AG25" i="448"/>
  <c r="AG23" i="448"/>
  <c r="AF23" i="448"/>
  <c r="AF114" i="448" s="1"/>
  <c r="AE23" i="448"/>
  <c r="AE114" i="448" s="1"/>
  <c r="AD23" i="448"/>
  <c r="AC23" i="448"/>
  <c r="AB23" i="448"/>
  <c r="AB114" i="448" s="1"/>
  <c r="AA23" i="448"/>
  <c r="AA114" i="448" s="1"/>
  <c r="Z23" i="448"/>
  <c r="Z114" i="448" s="1"/>
  <c r="Y23" i="448"/>
  <c r="Y114" i="448" s="1"/>
  <c r="X23" i="448"/>
  <c r="X114" i="448" s="1"/>
  <c r="W23" i="448"/>
  <c r="W114" i="448" s="1"/>
  <c r="V23" i="448"/>
  <c r="U23" i="448"/>
  <c r="T23" i="448"/>
  <c r="T114" i="448" s="1"/>
  <c r="S23" i="448"/>
  <c r="S114" i="448" s="1"/>
  <c r="R23" i="448"/>
  <c r="R114" i="448" s="1"/>
  <c r="Q23" i="448"/>
  <c r="Q114" i="448" s="1"/>
  <c r="P23" i="448"/>
  <c r="P114" i="448" s="1"/>
  <c r="O23" i="448"/>
  <c r="O114" i="448" s="1"/>
  <c r="N23" i="448"/>
  <c r="M23" i="448"/>
  <c r="L23" i="448"/>
  <c r="L114" i="448" s="1"/>
  <c r="K23" i="448"/>
  <c r="K114" i="448" s="1"/>
  <c r="J23" i="448"/>
  <c r="J114" i="448" s="1"/>
  <c r="I23" i="448"/>
  <c r="I114" i="448" s="1"/>
  <c r="H23" i="448"/>
  <c r="H114" i="448" s="1"/>
  <c r="G23" i="448"/>
  <c r="G114" i="448" s="1"/>
  <c r="F23" i="448"/>
  <c r="E23" i="448"/>
  <c r="D23" i="448"/>
  <c r="D114" i="448" s="1"/>
  <c r="C23" i="448"/>
  <c r="C114" i="448" s="1"/>
  <c r="B23" i="448"/>
  <c r="B114" i="448" s="1"/>
  <c r="AG22" i="448"/>
  <c r="AG21" i="448"/>
  <c r="AG20" i="448"/>
  <c r="AG19" i="448"/>
  <c r="AG18" i="448"/>
  <c r="AG17" i="448"/>
  <c r="AG16" i="448"/>
  <c r="AG15" i="448"/>
  <c r="AG14" i="448"/>
  <c r="AG13" i="448"/>
  <c r="B12" i="448"/>
  <c r="AO10" i="448"/>
  <c r="AH10" i="448"/>
  <c r="AG10" i="448"/>
  <c r="C10" i="448"/>
  <c r="F7" i="448"/>
  <c r="B7" i="448"/>
  <c r="V6" i="448"/>
  <c r="U6" i="448"/>
  <c r="T6" i="448"/>
  <c r="B9" i="448" s="1"/>
  <c r="S6" i="448"/>
  <c r="R6" i="448"/>
  <c r="Q6" i="448"/>
  <c r="P6" i="448"/>
  <c r="F6" i="448"/>
  <c r="B6" i="448"/>
  <c r="P5" i="448"/>
  <c r="F5" i="448"/>
  <c r="B5" i="448"/>
  <c r="F4" i="448"/>
  <c r="B4" i="448"/>
  <c r="P3" i="448"/>
  <c r="F3" i="448"/>
  <c r="B3" i="448"/>
  <c r="P2" i="448"/>
  <c r="F2" i="448"/>
  <c r="B2" i="448"/>
  <c r="AQ1" i="448"/>
  <c r="AO1" i="448"/>
  <c r="B1" i="448"/>
  <c r="A1" i="448"/>
  <c r="AF114" i="447"/>
  <c r="AF112" i="447"/>
  <c r="AE112" i="447"/>
  <c r="AD112" i="447"/>
  <c r="AC112" i="447"/>
  <c r="AB112" i="447"/>
  <c r="AA112" i="447"/>
  <c r="Z112" i="447"/>
  <c r="Y112" i="447"/>
  <c r="X112" i="447"/>
  <c r="W112" i="447"/>
  <c r="V112" i="447"/>
  <c r="U112" i="447"/>
  <c r="T112" i="447"/>
  <c r="S112" i="447"/>
  <c r="R112" i="447"/>
  <c r="Q112" i="447"/>
  <c r="P112" i="447"/>
  <c r="O112" i="447"/>
  <c r="N112" i="447"/>
  <c r="M112" i="447"/>
  <c r="L112" i="447"/>
  <c r="K112" i="447"/>
  <c r="J112" i="447"/>
  <c r="I112" i="447"/>
  <c r="H112" i="447"/>
  <c r="G112" i="447"/>
  <c r="F112" i="447"/>
  <c r="E112" i="447"/>
  <c r="D112" i="447"/>
  <c r="C112" i="447"/>
  <c r="B112" i="447"/>
  <c r="AH112" i="447" s="1"/>
  <c r="AH111" i="447"/>
  <c r="AH110" i="447"/>
  <c r="AH109" i="447"/>
  <c r="AH108" i="447"/>
  <c r="AH107" i="447"/>
  <c r="AH106" i="447"/>
  <c r="AH105" i="447"/>
  <c r="AH104" i="447"/>
  <c r="AH103" i="447"/>
  <c r="AH102" i="447"/>
  <c r="AH101" i="447"/>
  <c r="AH100" i="447"/>
  <c r="AH99" i="447"/>
  <c r="AH98" i="447"/>
  <c r="AH97" i="447"/>
  <c r="AH95" i="447"/>
  <c r="AF95" i="447"/>
  <c r="AH94" i="447"/>
  <c r="AF94" i="447"/>
  <c r="AH93" i="447"/>
  <c r="AF93" i="447"/>
  <c r="AH92" i="447"/>
  <c r="AF92" i="447"/>
  <c r="AH91" i="447"/>
  <c r="AF91" i="447"/>
  <c r="AH90" i="447"/>
  <c r="AF90" i="447"/>
  <c r="AH89" i="447"/>
  <c r="AF89" i="447"/>
  <c r="AH88" i="447"/>
  <c r="AF88" i="447"/>
  <c r="AH87" i="447"/>
  <c r="AF87" i="447"/>
  <c r="AH86" i="447"/>
  <c r="AF86" i="447"/>
  <c r="AH84" i="447"/>
  <c r="AF84" i="447"/>
  <c r="AF82" i="447"/>
  <c r="AF81" i="447"/>
  <c r="AF80" i="447"/>
  <c r="AF79" i="447"/>
  <c r="AF77" i="447"/>
  <c r="AF76" i="447"/>
  <c r="AF75" i="447"/>
  <c r="AF73" i="447"/>
  <c r="AF72" i="447"/>
  <c r="AH71" i="447"/>
  <c r="AF71" i="447"/>
  <c r="AF70" i="447"/>
  <c r="AF69" i="447"/>
  <c r="AH67" i="447"/>
  <c r="AH61" i="447"/>
  <c r="AF61" i="447"/>
  <c r="AF60" i="447"/>
  <c r="AC60" i="447"/>
  <c r="Y60" i="447"/>
  <c r="U60" i="447"/>
  <c r="Q60" i="447"/>
  <c r="M60" i="447"/>
  <c r="I60" i="447"/>
  <c r="E60" i="447"/>
  <c r="AF56" i="447"/>
  <c r="AF55" i="447"/>
  <c r="AF54" i="447"/>
  <c r="AF53" i="447"/>
  <c r="AF52" i="447"/>
  <c r="AF51" i="447"/>
  <c r="AF49" i="447"/>
  <c r="AF48" i="447"/>
  <c r="AF47" i="447"/>
  <c r="AF45" i="447"/>
  <c r="AE45" i="447"/>
  <c r="AE47" i="447" s="1"/>
  <c r="AD45" i="447"/>
  <c r="AD47" i="447" s="1"/>
  <c r="AC45" i="447"/>
  <c r="AC47" i="447" s="1"/>
  <c r="AB45" i="447"/>
  <c r="AB60" i="447" s="1"/>
  <c r="AA45" i="447"/>
  <c r="AA47" i="447" s="1"/>
  <c r="Z45" i="447"/>
  <c r="Z47" i="447" s="1"/>
  <c r="Y45" i="447"/>
  <c r="Y47" i="447" s="1"/>
  <c r="X45" i="447"/>
  <c r="X60" i="447" s="1"/>
  <c r="W45" i="447"/>
  <c r="W47" i="447" s="1"/>
  <c r="V45" i="447"/>
  <c r="V47" i="447" s="1"/>
  <c r="U45" i="447"/>
  <c r="U47" i="447" s="1"/>
  <c r="T45" i="447"/>
  <c r="T60" i="447" s="1"/>
  <c r="S45" i="447"/>
  <c r="S47" i="447" s="1"/>
  <c r="R45" i="447"/>
  <c r="R47" i="447" s="1"/>
  <c r="Q45" i="447"/>
  <c r="Q47" i="447" s="1"/>
  <c r="P45" i="447"/>
  <c r="P60" i="447" s="1"/>
  <c r="O45" i="447"/>
  <c r="O47" i="447" s="1"/>
  <c r="N45" i="447"/>
  <c r="N47" i="447" s="1"/>
  <c r="M45" i="447"/>
  <c r="M47" i="447" s="1"/>
  <c r="L45" i="447"/>
  <c r="L60" i="447" s="1"/>
  <c r="K45" i="447"/>
  <c r="K47" i="447" s="1"/>
  <c r="J45" i="447"/>
  <c r="J47" i="447" s="1"/>
  <c r="I45" i="447"/>
  <c r="I47" i="447" s="1"/>
  <c r="H45" i="447"/>
  <c r="H60" i="447" s="1"/>
  <c r="G45" i="447"/>
  <c r="G47" i="447" s="1"/>
  <c r="F45" i="447"/>
  <c r="F47" i="447" s="1"/>
  <c r="E45" i="447"/>
  <c r="E47" i="447" s="1"/>
  <c r="D45" i="447"/>
  <c r="D60" i="447" s="1"/>
  <c r="C45" i="447"/>
  <c r="C47" i="447" s="1"/>
  <c r="B45" i="447"/>
  <c r="B47" i="447" s="1"/>
  <c r="AF44" i="447"/>
  <c r="AF43" i="447"/>
  <c r="AF42" i="447"/>
  <c r="AF41" i="447"/>
  <c r="AF40" i="447"/>
  <c r="AF39" i="447"/>
  <c r="AF38" i="447"/>
  <c r="AF37" i="447"/>
  <c r="AF36" i="447"/>
  <c r="AF35" i="447"/>
  <c r="AF32" i="447"/>
  <c r="AE32" i="447"/>
  <c r="AD32" i="447"/>
  <c r="AC32" i="447"/>
  <c r="AB32" i="447"/>
  <c r="AA32" i="447"/>
  <c r="Z32" i="447"/>
  <c r="Y32" i="447"/>
  <c r="X32" i="447"/>
  <c r="W32" i="447"/>
  <c r="V32" i="447"/>
  <c r="U32" i="447"/>
  <c r="T32" i="447"/>
  <c r="S32" i="447"/>
  <c r="R32" i="447"/>
  <c r="Q32" i="447"/>
  <c r="P32" i="447"/>
  <c r="O32" i="447"/>
  <c r="N32" i="447"/>
  <c r="M32" i="447"/>
  <c r="L32" i="447"/>
  <c r="K32" i="447"/>
  <c r="J32" i="447"/>
  <c r="I32" i="447"/>
  <c r="H32" i="447"/>
  <c r="G32" i="447"/>
  <c r="F32" i="447"/>
  <c r="E32" i="447"/>
  <c r="AH32" i="447" s="1"/>
  <c r="D32" i="447"/>
  <c r="C32" i="447"/>
  <c r="B32" i="447"/>
  <c r="AF30" i="447"/>
  <c r="AF29" i="447"/>
  <c r="AF28" i="447"/>
  <c r="AF27" i="447"/>
  <c r="AF26" i="447"/>
  <c r="AF25" i="447"/>
  <c r="AF23" i="447"/>
  <c r="AE23" i="447"/>
  <c r="AD23" i="447"/>
  <c r="AD114" i="447" s="1"/>
  <c r="AC23" i="447"/>
  <c r="AC114" i="447" s="1"/>
  <c r="AB23" i="447"/>
  <c r="AB114" i="447" s="1"/>
  <c r="AA23" i="447"/>
  <c r="Z23" i="447"/>
  <c r="Z114" i="447" s="1"/>
  <c r="Y23" i="447"/>
  <c r="Y114" i="447" s="1"/>
  <c r="X23" i="447"/>
  <c r="X114" i="447" s="1"/>
  <c r="W23" i="447"/>
  <c r="V23" i="447"/>
  <c r="V114" i="447" s="1"/>
  <c r="U23" i="447"/>
  <c r="U114" i="447" s="1"/>
  <c r="T23" i="447"/>
  <c r="T114" i="447" s="1"/>
  <c r="S23" i="447"/>
  <c r="R23" i="447"/>
  <c r="R114" i="447" s="1"/>
  <c r="Q23" i="447"/>
  <c r="Q114" i="447" s="1"/>
  <c r="P23" i="447"/>
  <c r="P114" i="447" s="1"/>
  <c r="O23" i="447"/>
  <c r="N23" i="447"/>
  <c r="N114" i="447" s="1"/>
  <c r="M23" i="447"/>
  <c r="M114" i="447" s="1"/>
  <c r="L23" i="447"/>
  <c r="L114" i="447" s="1"/>
  <c r="K23" i="447"/>
  <c r="J23" i="447"/>
  <c r="J114" i="447" s="1"/>
  <c r="I23" i="447"/>
  <c r="I114" i="447" s="1"/>
  <c r="H23" i="447"/>
  <c r="H114" i="447" s="1"/>
  <c r="G23" i="447"/>
  <c r="F23" i="447"/>
  <c r="F114" i="447" s="1"/>
  <c r="E23" i="447"/>
  <c r="E114" i="447" s="1"/>
  <c r="D23" i="447"/>
  <c r="D114" i="447" s="1"/>
  <c r="C23" i="447"/>
  <c r="B23" i="447"/>
  <c r="B114" i="447" s="1"/>
  <c r="AF22" i="447"/>
  <c r="AF21" i="447"/>
  <c r="AF20" i="447"/>
  <c r="AF19" i="447"/>
  <c r="AF18" i="447"/>
  <c r="AF17" i="447"/>
  <c r="AF16" i="447"/>
  <c r="AF15" i="447"/>
  <c r="AF14" i="447"/>
  <c r="AF13" i="447"/>
  <c r="C12" i="447"/>
  <c r="B12" i="447"/>
  <c r="AN10" i="447"/>
  <c r="AG10" i="447"/>
  <c r="AF10" i="447"/>
  <c r="D10" i="447"/>
  <c r="C10" i="447"/>
  <c r="C9" i="447"/>
  <c r="F7" i="447"/>
  <c r="B7" i="447"/>
  <c r="V6" i="447"/>
  <c r="U6" i="447"/>
  <c r="T6" i="447"/>
  <c r="D9" i="447" s="1"/>
  <c r="S6" i="447"/>
  <c r="R6" i="447"/>
  <c r="B9" i="447" s="1"/>
  <c r="Q6" i="447"/>
  <c r="P6" i="447"/>
  <c r="F6" i="447"/>
  <c r="B6" i="447"/>
  <c r="P5" i="447"/>
  <c r="F5" i="447"/>
  <c r="B5" i="447"/>
  <c r="F4" i="447"/>
  <c r="B4" i="447"/>
  <c r="P3" i="447"/>
  <c r="F3" i="447"/>
  <c r="B3" i="447"/>
  <c r="P2" i="447"/>
  <c r="F2" i="447"/>
  <c r="B2" i="447"/>
  <c r="AP1" i="447"/>
  <c r="AN1" i="447"/>
  <c r="B1" i="447"/>
  <c r="A1" i="447"/>
  <c r="AG114" i="446"/>
  <c r="AG112" i="446"/>
  <c r="AF112" i="446"/>
  <c r="AE112" i="446"/>
  <c r="AD112" i="446"/>
  <c r="AC112" i="446"/>
  <c r="AB112" i="446"/>
  <c r="AA112" i="446"/>
  <c r="Z112" i="446"/>
  <c r="Y112" i="446"/>
  <c r="X112" i="446"/>
  <c r="W112" i="446"/>
  <c r="V112" i="446"/>
  <c r="U112" i="446"/>
  <c r="T112" i="446"/>
  <c r="S112" i="446"/>
  <c r="R112" i="446"/>
  <c r="Q112" i="446"/>
  <c r="P112" i="446"/>
  <c r="O112" i="446"/>
  <c r="N112" i="446"/>
  <c r="M112" i="446"/>
  <c r="L112" i="446"/>
  <c r="K112" i="446"/>
  <c r="J112" i="446"/>
  <c r="I112" i="446"/>
  <c r="H112" i="446"/>
  <c r="G112" i="446"/>
  <c r="F112" i="446"/>
  <c r="E112" i="446"/>
  <c r="D112" i="446"/>
  <c r="C112" i="446"/>
  <c r="B112" i="446"/>
  <c r="AI112" i="446" s="1"/>
  <c r="AI111" i="446"/>
  <c r="AI110" i="446"/>
  <c r="AI109" i="446"/>
  <c r="AI108" i="446"/>
  <c r="AI107" i="446"/>
  <c r="AI106" i="446"/>
  <c r="AI105" i="446"/>
  <c r="AI104" i="446"/>
  <c r="AI103" i="446"/>
  <c r="AI102" i="446"/>
  <c r="AI101" i="446"/>
  <c r="AI100" i="446"/>
  <c r="AI99" i="446"/>
  <c r="AI98" i="446"/>
  <c r="AI97" i="446"/>
  <c r="AI95" i="446"/>
  <c r="AG95" i="446"/>
  <c r="AI94" i="446"/>
  <c r="AG94" i="446"/>
  <c r="AI93" i="446"/>
  <c r="AG93" i="446"/>
  <c r="AI92" i="446"/>
  <c r="AG92" i="446"/>
  <c r="AI91" i="446"/>
  <c r="AG91" i="446"/>
  <c r="AI90" i="446"/>
  <c r="AG90" i="446"/>
  <c r="AI89" i="446"/>
  <c r="AG89" i="446"/>
  <c r="AI88" i="446"/>
  <c r="AG88" i="446"/>
  <c r="AI87" i="446"/>
  <c r="AG87" i="446"/>
  <c r="AI86" i="446"/>
  <c r="AG86" i="446"/>
  <c r="AI84" i="446"/>
  <c r="AG84" i="446"/>
  <c r="AG82" i="446"/>
  <c r="AG81" i="446"/>
  <c r="AG80" i="446"/>
  <c r="AG79" i="446"/>
  <c r="AG77" i="446"/>
  <c r="AG76" i="446"/>
  <c r="AG75" i="446"/>
  <c r="AG73" i="446"/>
  <c r="AG72" i="446"/>
  <c r="AI71" i="446"/>
  <c r="AG71" i="446"/>
  <c r="AG70" i="446"/>
  <c r="AG69" i="446"/>
  <c r="AI67" i="446"/>
  <c r="AI61" i="446"/>
  <c r="AG61" i="446"/>
  <c r="AG60" i="446"/>
  <c r="AG56" i="446"/>
  <c r="AG55" i="446"/>
  <c r="AG54" i="446"/>
  <c r="AG53" i="446"/>
  <c r="AG52" i="446"/>
  <c r="AG51" i="446"/>
  <c r="AG49" i="446"/>
  <c r="AG48" i="446"/>
  <c r="AG47" i="446"/>
  <c r="AE47" i="446"/>
  <c r="AD47" i="446"/>
  <c r="AD48" i="446" s="1"/>
  <c r="AC47" i="446"/>
  <c r="AC48" i="446" s="1"/>
  <c r="AA47" i="446"/>
  <c r="Z47" i="446"/>
  <c r="Z48" i="446" s="1"/>
  <c r="Y47" i="446"/>
  <c r="Y48" i="446" s="1"/>
  <c r="W47" i="446"/>
  <c r="V47" i="446"/>
  <c r="V48" i="446" s="1"/>
  <c r="U47" i="446"/>
  <c r="U48" i="446" s="1"/>
  <c r="S47" i="446"/>
  <c r="R47" i="446"/>
  <c r="R48" i="446" s="1"/>
  <c r="Q47" i="446"/>
  <c r="Q48" i="446" s="1"/>
  <c r="O47" i="446"/>
  <c r="N47" i="446"/>
  <c r="N48" i="446" s="1"/>
  <c r="M47" i="446"/>
  <c r="M48" i="446" s="1"/>
  <c r="K47" i="446"/>
  <c r="J47" i="446"/>
  <c r="I47" i="446"/>
  <c r="I48" i="446" s="1"/>
  <c r="G47" i="446"/>
  <c r="E47" i="446"/>
  <c r="E48" i="446" s="1"/>
  <c r="C47" i="446"/>
  <c r="AG45" i="446"/>
  <c r="AF45" i="446"/>
  <c r="AF60" i="446" s="1"/>
  <c r="AE45" i="446"/>
  <c r="AE60" i="446" s="1"/>
  <c r="AD45" i="446"/>
  <c r="AD60" i="446" s="1"/>
  <c r="AC45" i="446"/>
  <c r="AC60" i="446" s="1"/>
  <c r="AB45" i="446"/>
  <c r="AB60" i="446" s="1"/>
  <c r="AA45" i="446"/>
  <c r="AA60" i="446" s="1"/>
  <c r="Z45" i="446"/>
  <c r="Z60" i="446" s="1"/>
  <c r="Y45" i="446"/>
  <c r="Y60" i="446" s="1"/>
  <c r="X45" i="446"/>
  <c r="X60" i="446" s="1"/>
  <c r="W45" i="446"/>
  <c r="W60" i="446" s="1"/>
  <c r="V45" i="446"/>
  <c r="V60" i="446" s="1"/>
  <c r="U45" i="446"/>
  <c r="U60" i="446" s="1"/>
  <c r="T45" i="446"/>
  <c r="T60" i="446" s="1"/>
  <c r="S45" i="446"/>
  <c r="S60" i="446" s="1"/>
  <c r="R45" i="446"/>
  <c r="R60" i="446" s="1"/>
  <c r="Q45" i="446"/>
  <c r="Q60" i="446" s="1"/>
  <c r="P45" i="446"/>
  <c r="P60" i="446" s="1"/>
  <c r="O45" i="446"/>
  <c r="O60" i="446" s="1"/>
  <c r="N45" i="446"/>
  <c r="N60" i="446" s="1"/>
  <c r="M45" i="446"/>
  <c r="M60" i="446" s="1"/>
  <c r="L45" i="446"/>
  <c r="L60" i="446" s="1"/>
  <c r="K45" i="446"/>
  <c r="K60" i="446" s="1"/>
  <c r="J45" i="446"/>
  <c r="J60" i="446" s="1"/>
  <c r="I45" i="446"/>
  <c r="I60" i="446" s="1"/>
  <c r="H45" i="446"/>
  <c r="H60" i="446" s="1"/>
  <c r="G45" i="446"/>
  <c r="G60" i="446" s="1"/>
  <c r="F45" i="446"/>
  <c r="F60" i="446" s="1"/>
  <c r="E45" i="446"/>
  <c r="E60" i="446" s="1"/>
  <c r="D45" i="446"/>
  <c r="D60" i="446" s="1"/>
  <c r="C45" i="446"/>
  <c r="C60" i="446" s="1"/>
  <c r="B45" i="446"/>
  <c r="B60" i="446" s="1"/>
  <c r="AG44" i="446"/>
  <c r="AG43" i="446"/>
  <c r="AG42" i="446"/>
  <c r="AG41" i="446"/>
  <c r="AG40" i="446"/>
  <c r="AG39" i="446"/>
  <c r="AG38" i="446"/>
  <c r="AG37" i="446"/>
  <c r="AG36" i="446"/>
  <c r="AG35" i="446"/>
  <c r="AG32" i="446"/>
  <c r="AF32" i="446"/>
  <c r="AE32" i="446"/>
  <c r="AD32" i="446"/>
  <c r="AC32" i="446"/>
  <c r="AB32" i="446"/>
  <c r="AA32" i="446"/>
  <c r="Z32" i="446"/>
  <c r="Y32" i="446"/>
  <c r="X32" i="446"/>
  <c r="W32" i="446"/>
  <c r="V32" i="446"/>
  <c r="U32" i="446"/>
  <c r="T32" i="446"/>
  <c r="S32" i="446"/>
  <c r="R32" i="446"/>
  <c r="Q32" i="446"/>
  <c r="P32" i="446"/>
  <c r="O32" i="446"/>
  <c r="N32" i="446"/>
  <c r="M32" i="446"/>
  <c r="L32" i="446"/>
  <c r="K32" i="446"/>
  <c r="J32" i="446"/>
  <c r="I32" i="446"/>
  <c r="H32" i="446"/>
  <c r="G32" i="446"/>
  <c r="F32" i="446"/>
  <c r="E32" i="446"/>
  <c r="D32" i="446"/>
  <c r="C32" i="446"/>
  <c r="B32" i="446"/>
  <c r="AI32" i="446" s="1"/>
  <c r="AG30" i="446"/>
  <c r="AG29" i="446"/>
  <c r="AG28" i="446"/>
  <c r="AG27" i="446"/>
  <c r="AG26" i="446"/>
  <c r="AG25" i="446"/>
  <c r="AG23" i="446"/>
  <c r="AF23" i="446"/>
  <c r="AE23" i="446"/>
  <c r="AE114" i="446" s="1"/>
  <c r="AD23" i="446"/>
  <c r="AD114" i="446" s="1"/>
  <c r="AC23" i="446"/>
  <c r="AC114" i="446" s="1"/>
  <c r="AB23" i="446"/>
  <c r="AA23" i="446"/>
  <c r="AA114" i="446" s="1"/>
  <c r="Z23" i="446"/>
  <c r="Z114" i="446" s="1"/>
  <c r="Y23" i="446"/>
  <c r="Y114" i="446" s="1"/>
  <c r="X23" i="446"/>
  <c r="W23" i="446"/>
  <c r="W114" i="446" s="1"/>
  <c r="V23" i="446"/>
  <c r="V114" i="446" s="1"/>
  <c r="U23" i="446"/>
  <c r="U114" i="446" s="1"/>
  <c r="T23" i="446"/>
  <c r="S23" i="446"/>
  <c r="S114" i="446" s="1"/>
  <c r="R23" i="446"/>
  <c r="R114" i="446" s="1"/>
  <c r="Q23" i="446"/>
  <c r="Q114" i="446" s="1"/>
  <c r="P23" i="446"/>
  <c r="O23" i="446"/>
  <c r="O114" i="446" s="1"/>
  <c r="N23" i="446"/>
  <c r="N114" i="446" s="1"/>
  <c r="M23" i="446"/>
  <c r="M114" i="446" s="1"/>
  <c r="L23" i="446"/>
  <c r="K23" i="446"/>
  <c r="K114" i="446" s="1"/>
  <c r="J23" i="446"/>
  <c r="J114" i="446" s="1"/>
  <c r="I23" i="446"/>
  <c r="I114" i="446" s="1"/>
  <c r="H23" i="446"/>
  <c r="G23" i="446"/>
  <c r="G114" i="446" s="1"/>
  <c r="F23" i="446"/>
  <c r="F114" i="446" s="1"/>
  <c r="E23" i="446"/>
  <c r="E114" i="446" s="1"/>
  <c r="D23" i="446"/>
  <c r="C23" i="446"/>
  <c r="C114" i="446" s="1"/>
  <c r="B23" i="446"/>
  <c r="B114" i="446" s="1"/>
  <c r="AG22" i="446"/>
  <c r="AG21" i="446"/>
  <c r="AG20" i="446"/>
  <c r="AG19" i="446"/>
  <c r="AG18" i="446"/>
  <c r="AG17" i="446"/>
  <c r="AG16" i="446"/>
  <c r="AG15" i="446"/>
  <c r="AG14" i="446"/>
  <c r="AG13" i="446"/>
  <c r="B12" i="446"/>
  <c r="AO10" i="446"/>
  <c r="AH10" i="446"/>
  <c r="AG10" i="446"/>
  <c r="C10" i="446"/>
  <c r="F7" i="446"/>
  <c r="B7" i="446"/>
  <c r="V6" i="446"/>
  <c r="B9" i="446" s="1"/>
  <c r="U6" i="446"/>
  <c r="T6" i="446"/>
  <c r="S6" i="446"/>
  <c r="R6" i="446"/>
  <c r="Q6" i="446"/>
  <c r="P6" i="446"/>
  <c r="F6" i="446"/>
  <c r="B6" i="446"/>
  <c r="P5" i="446"/>
  <c r="F5" i="446"/>
  <c r="B5" i="446"/>
  <c r="F4" i="446"/>
  <c r="B4" i="446"/>
  <c r="P3" i="446"/>
  <c r="F3" i="446"/>
  <c r="B3" i="446"/>
  <c r="P2" i="446"/>
  <c r="F2" i="446"/>
  <c r="B2" i="446"/>
  <c r="AQ1" i="446"/>
  <c r="AO1" i="446"/>
  <c r="B1" i="446"/>
  <c r="A1" i="446"/>
  <c r="AE114" i="445"/>
  <c r="AE112" i="445"/>
  <c r="AD112" i="445"/>
  <c r="AC112" i="445"/>
  <c r="AB112" i="445"/>
  <c r="AA112" i="445"/>
  <c r="Z112" i="445"/>
  <c r="Y112" i="445"/>
  <c r="X112" i="445"/>
  <c r="W112" i="445"/>
  <c r="V112" i="445"/>
  <c r="U112" i="445"/>
  <c r="T112" i="445"/>
  <c r="S112" i="445"/>
  <c r="R112" i="445"/>
  <c r="Q112" i="445"/>
  <c r="P112" i="445"/>
  <c r="O112" i="445"/>
  <c r="N112" i="445"/>
  <c r="M112" i="445"/>
  <c r="L112" i="445"/>
  <c r="K112" i="445"/>
  <c r="J112" i="445"/>
  <c r="I112" i="445"/>
  <c r="H112" i="445"/>
  <c r="G112" i="445"/>
  <c r="F112" i="445"/>
  <c r="E112" i="445"/>
  <c r="D112" i="445"/>
  <c r="C112" i="445"/>
  <c r="B112" i="445"/>
  <c r="AG112" i="445" s="1"/>
  <c r="AG111" i="445"/>
  <c r="AG110" i="445"/>
  <c r="AG109" i="445"/>
  <c r="AG108" i="445"/>
  <c r="AG107" i="445"/>
  <c r="AG106" i="445"/>
  <c r="AG105" i="445"/>
  <c r="AG104" i="445"/>
  <c r="AG103" i="445"/>
  <c r="AG102" i="445"/>
  <c r="AG101" i="445"/>
  <c r="AG100" i="445"/>
  <c r="AG99" i="445"/>
  <c r="AG98" i="445"/>
  <c r="AG97" i="445"/>
  <c r="AG95" i="445"/>
  <c r="AE95" i="445"/>
  <c r="AG94" i="445"/>
  <c r="AE94" i="445"/>
  <c r="AG93" i="445"/>
  <c r="AE93" i="445"/>
  <c r="AG92" i="445"/>
  <c r="AE92" i="445"/>
  <c r="AG91" i="445"/>
  <c r="AE91" i="445"/>
  <c r="AG90" i="445"/>
  <c r="AE90" i="445"/>
  <c r="AG89" i="445"/>
  <c r="AE89" i="445"/>
  <c r="AG88" i="445"/>
  <c r="AE88" i="445"/>
  <c r="AG87" i="445"/>
  <c r="AE87" i="445"/>
  <c r="AG86" i="445"/>
  <c r="AE86" i="445"/>
  <c r="AG84" i="445"/>
  <c r="AE84" i="445"/>
  <c r="AE82" i="445"/>
  <c r="AE81" i="445"/>
  <c r="AE80" i="445"/>
  <c r="AE79" i="445"/>
  <c r="AE77" i="445"/>
  <c r="AE76" i="445"/>
  <c r="AE75" i="445"/>
  <c r="AE73" i="445"/>
  <c r="AE72" i="445"/>
  <c r="AG71" i="445"/>
  <c r="AE71" i="445"/>
  <c r="AE70" i="445"/>
  <c r="AE69" i="445"/>
  <c r="AG67" i="445"/>
  <c r="AG61" i="445"/>
  <c r="AE61" i="445"/>
  <c r="AE60" i="445"/>
  <c r="AE56" i="445"/>
  <c r="AE55" i="445"/>
  <c r="AE54" i="445"/>
  <c r="AE53" i="445"/>
  <c r="AE52" i="445"/>
  <c r="AE51" i="445"/>
  <c r="AE49" i="445"/>
  <c r="AE48" i="445"/>
  <c r="AB48" i="445"/>
  <c r="X48" i="445"/>
  <c r="T48" i="445"/>
  <c r="P48" i="445"/>
  <c r="L48" i="445"/>
  <c r="H48" i="445"/>
  <c r="D48" i="445"/>
  <c r="AE47" i="445"/>
  <c r="AD47" i="445"/>
  <c r="AB47" i="445"/>
  <c r="AA47" i="445"/>
  <c r="Z47" i="445"/>
  <c r="X47" i="445"/>
  <c r="W47" i="445"/>
  <c r="V47" i="445"/>
  <c r="T47" i="445"/>
  <c r="S47" i="445"/>
  <c r="R47" i="445"/>
  <c r="P47" i="445"/>
  <c r="O47" i="445"/>
  <c r="N47" i="445"/>
  <c r="L47" i="445"/>
  <c r="K47" i="445"/>
  <c r="J47" i="445"/>
  <c r="H47" i="445"/>
  <c r="G47" i="445"/>
  <c r="F47" i="445"/>
  <c r="D47" i="445"/>
  <c r="C47" i="445"/>
  <c r="C49" i="445" s="1"/>
  <c r="B47" i="445"/>
  <c r="AE45" i="445"/>
  <c r="AD45" i="445"/>
  <c r="AD60" i="445" s="1"/>
  <c r="AC45" i="445"/>
  <c r="AB45" i="445"/>
  <c r="AB60" i="445" s="1"/>
  <c r="AA45" i="445"/>
  <c r="AA48" i="445" s="1"/>
  <c r="Z45" i="445"/>
  <c r="Z60" i="445" s="1"/>
  <c r="Y45" i="445"/>
  <c r="X45" i="445"/>
  <c r="X60" i="445" s="1"/>
  <c r="W45" i="445"/>
  <c r="W48" i="445" s="1"/>
  <c r="V45" i="445"/>
  <c r="V60" i="445" s="1"/>
  <c r="U45" i="445"/>
  <c r="T45" i="445"/>
  <c r="T60" i="445" s="1"/>
  <c r="S45" i="445"/>
  <c r="S48" i="445" s="1"/>
  <c r="R45" i="445"/>
  <c r="R60" i="445" s="1"/>
  <c r="Q45" i="445"/>
  <c r="P45" i="445"/>
  <c r="P60" i="445" s="1"/>
  <c r="O45" i="445"/>
  <c r="O48" i="445" s="1"/>
  <c r="N45" i="445"/>
  <c r="N60" i="445" s="1"/>
  <c r="M45" i="445"/>
  <c r="L45" i="445"/>
  <c r="L60" i="445" s="1"/>
  <c r="K45" i="445"/>
  <c r="K48" i="445" s="1"/>
  <c r="J45" i="445"/>
  <c r="J60" i="445" s="1"/>
  <c r="I45" i="445"/>
  <c r="H45" i="445"/>
  <c r="H60" i="445" s="1"/>
  <c r="G45" i="445"/>
  <c r="G48" i="445" s="1"/>
  <c r="F45" i="445"/>
  <c r="F60" i="445" s="1"/>
  <c r="E45" i="445"/>
  <c r="D45" i="445"/>
  <c r="D60" i="445" s="1"/>
  <c r="C45" i="445"/>
  <c r="C48" i="445" s="1"/>
  <c r="B45" i="445"/>
  <c r="B60" i="445" s="1"/>
  <c r="AE44" i="445"/>
  <c r="AE43" i="445"/>
  <c r="AE42" i="445"/>
  <c r="AE41" i="445"/>
  <c r="AE40" i="445"/>
  <c r="AE39" i="445"/>
  <c r="AE38" i="445"/>
  <c r="AE37" i="445"/>
  <c r="AE36" i="445"/>
  <c r="AE35" i="445"/>
  <c r="AE32" i="445"/>
  <c r="AD32" i="445"/>
  <c r="AC32" i="445"/>
  <c r="AB32" i="445"/>
  <c r="AA32" i="445"/>
  <c r="Z32" i="445"/>
  <c r="Y32" i="445"/>
  <c r="X32" i="445"/>
  <c r="W32" i="445"/>
  <c r="V32" i="445"/>
  <c r="U32" i="445"/>
  <c r="T32" i="445"/>
  <c r="S32" i="445"/>
  <c r="R32" i="445"/>
  <c r="Q32" i="445"/>
  <c r="P32" i="445"/>
  <c r="O32" i="445"/>
  <c r="N32" i="445"/>
  <c r="M32" i="445"/>
  <c r="L32" i="445"/>
  <c r="K32" i="445"/>
  <c r="J32" i="445"/>
  <c r="I32" i="445"/>
  <c r="H32" i="445"/>
  <c r="G32" i="445"/>
  <c r="F32" i="445"/>
  <c r="E32" i="445"/>
  <c r="D32" i="445"/>
  <c r="C32" i="445"/>
  <c r="B32" i="445"/>
  <c r="AG32" i="445" s="1"/>
  <c r="AE30" i="445"/>
  <c r="AE29" i="445"/>
  <c r="AE28" i="445"/>
  <c r="AE27" i="445"/>
  <c r="AE26" i="445"/>
  <c r="AE25" i="445"/>
  <c r="AE23" i="445"/>
  <c r="AD23" i="445"/>
  <c r="AD114" i="445" s="1"/>
  <c r="AC23" i="445"/>
  <c r="AB23" i="445"/>
  <c r="AB114" i="445" s="1"/>
  <c r="AA23" i="445"/>
  <c r="Z23" i="445"/>
  <c r="Z114" i="445" s="1"/>
  <c r="Y23" i="445"/>
  <c r="X23" i="445"/>
  <c r="X114" i="445" s="1"/>
  <c r="W23" i="445"/>
  <c r="V23" i="445"/>
  <c r="V114" i="445" s="1"/>
  <c r="U23" i="445"/>
  <c r="T23" i="445"/>
  <c r="T114" i="445" s="1"/>
  <c r="S23" i="445"/>
  <c r="R23" i="445"/>
  <c r="R114" i="445" s="1"/>
  <c r="Q23" i="445"/>
  <c r="P23" i="445"/>
  <c r="P114" i="445" s="1"/>
  <c r="O23" i="445"/>
  <c r="N23" i="445"/>
  <c r="N114" i="445" s="1"/>
  <c r="M23" i="445"/>
  <c r="L23" i="445"/>
  <c r="L114" i="445" s="1"/>
  <c r="K23" i="445"/>
  <c r="J23" i="445"/>
  <c r="J114" i="445" s="1"/>
  <c r="I23" i="445"/>
  <c r="H23" i="445"/>
  <c r="H114" i="445" s="1"/>
  <c r="G23" i="445"/>
  <c r="F23" i="445"/>
  <c r="F114" i="445" s="1"/>
  <c r="E23" i="445"/>
  <c r="D23" i="445"/>
  <c r="D114" i="445" s="1"/>
  <c r="C23" i="445"/>
  <c r="B23" i="445"/>
  <c r="B114" i="445" s="1"/>
  <c r="AE22" i="445"/>
  <c r="AE21" i="445"/>
  <c r="AE20" i="445"/>
  <c r="AE19" i="445"/>
  <c r="AE18" i="445"/>
  <c r="AE17" i="445"/>
  <c r="AE16" i="445"/>
  <c r="AE15" i="445"/>
  <c r="AE14" i="445"/>
  <c r="AE13" i="445"/>
  <c r="B12" i="445"/>
  <c r="AM10" i="445"/>
  <c r="AF10" i="445"/>
  <c r="AE10" i="445"/>
  <c r="C10" i="445"/>
  <c r="F7" i="445"/>
  <c r="B7" i="445"/>
  <c r="V6" i="445"/>
  <c r="C9" i="445" s="1"/>
  <c r="U6" i="445"/>
  <c r="B9" i="445" s="1"/>
  <c r="T6" i="445"/>
  <c r="S6" i="445"/>
  <c r="R6" i="445"/>
  <c r="Q6" i="445"/>
  <c r="P6" i="445"/>
  <c r="F6" i="445"/>
  <c r="B6" i="445"/>
  <c r="P5" i="445"/>
  <c r="F5" i="445"/>
  <c r="B5" i="445"/>
  <c r="F4" i="445"/>
  <c r="B4" i="445"/>
  <c r="P3" i="445"/>
  <c r="F3" i="445"/>
  <c r="B3" i="445"/>
  <c r="P2" i="445"/>
  <c r="F2" i="445"/>
  <c r="B2" i="445"/>
  <c r="AO1" i="445"/>
  <c r="AM1" i="445"/>
  <c r="B1" i="445"/>
  <c r="A1" i="445"/>
  <c r="AG114" i="444"/>
  <c r="AG112" i="444"/>
  <c r="AF112" i="444"/>
  <c r="AE112" i="444"/>
  <c r="AD112" i="444"/>
  <c r="AC112" i="444"/>
  <c r="AB112" i="444"/>
  <c r="AA112" i="444"/>
  <c r="Z112" i="444"/>
  <c r="Y112" i="444"/>
  <c r="X112" i="444"/>
  <c r="W112" i="444"/>
  <c r="V112" i="444"/>
  <c r="U112" i="444"/>
  <c r="T112" i="444"/>
  <c r="S112" i="444"/>
  <c r="R112" i="444"/>
  <c r="Q112" i="444"/>
  <c r="P112" i="444"/>
  <c r="O112" i="444"/>
  <c r="N112" i="444"/>
  <c r="M112" i="444"/>
  <c r="L112" i="444"/>
  <c r="K112" i="444"/>
  <c r="J112" i="444"/>
  <c r="I112" i="444"/>
  <c r="H112" i="444"/>
  <c r="G112" i="444"/>
  <c r="F112" i="444"/>
  <c r="E112" i="444"/>
  <c r="D112" i="444"/>
  <c r="C112" i="444"/>
  <c r="B112" i="444"/>
  <c r="AI112" i="444" s="1"/>
  <c r="AI111" i="444"/>
  <c r="AI110" i="444"/>
  <c r="AI109" i="444"/>
  <c r="AI108" i="444"/>
  <c r="AI107" i="444"/>
  <c r="AI106" i="444"/>
  <c r="AI105" i="444"/>
  <c r="AI104" i="444"/>
  <c r="AI103" i="444"/>
  <c r="AI102" i="444"/>
  <c r="AI101" i="444"/>
  <c r="AI100" i="444"/>
  <c r="AI99" i="444"/>
  <c r="AI98" i="444"/>
  <c r="AI97" i="444"/>
  <c r="AI95" i="444"/>
  <c r="AG95" i="444"/>
  <c r="AI94" i="444"/>
  <c r="AG94" i="444"/>
  <c r="AI93" i="444"/>
  <c r="AG93" i="444"/>
  <c r="AI92" i="444"/>
  <c r="AG92" i="444"/>
  <c r="AI91" i="444"/>
  <c r="AG91" i="444"/>
  <c r="AI90" i="444"/>
  <c r="AG90" i="444"/>
  <c r="AI89" i="444"/>
  <c r="AG89" i="444"/>
  <c r="AI88" i="444"/>
  <c r="AG88" i="444"/>
  <c r="AI87" i="444"/>
  <c r="AG87" i="444"/>
  <c r="AI86" i="444"/>
  <c r="AG86" i="444"/>
  <c r="AI84" i="444"/>
  <c r="AG84" i="444"/>
  <c r="AG82" i="444"/>
  <c r="AG81" i="444"/>
  <c r="AG80" i="444"/>
  <c r="AG79" i="444"/>
  <c r="AG77" i="444"/>
  <c r="AG76" i="444"/>
  <c r="AG75" i="444"/>
  <c r="AG73" i="444"/>
  <c r="AG72" i="444"/>
  <c r="AI71" i="444"/>
  <c r="AG71" i="444"/>
  <c r="AG70" i="444"/>
  <c r="AG69" i="444"/>
  <c r="AI67" i="444"/>
  <c r="AI61" i="444"/>
  <c r="AG61" i="444"/>
  <c r="AG60" i="444"/>
  <c r="AG56" i="444"/>
  <c r="AG55" i="444"/>
  <c r="AG54" i="444"/>
  <c r="AG53" i="444"/>
  <c r="AG52" i="444"/>
  <c r="AG51" i="444"/>
  <c r="AG49" i="444"/>
  <c r="AG48" i="444"/>
  <c r="AG47" i="444"/>
  <c r="AF47" i="444"/>
  <c r="AF48" i="444" s="1"/>
  <c r="AC47" i="444"/>
  <c r="AB47" i="444"/>
  <c r="Y47" i="444"/>
  <c r="X47" i="444"/>
  <c r="U47" i="444"/>
  <c r="Q47" i="444"/>
  <c r="M47" i="444"/>
  <c r="I47" i="444"/>
  <c r="E47" i="444"/>
  <c r="AG45" i="444"/>
  <c r="AF45" i="444"/>
  <c r="AF60" i="444" s="1"/>
  <c r="AE45" i="444"/>
  <c r="AE60" i="444" s="1"/>
  <c r="AD45" i="444"/>
  <c r="AC45" i="444"/>
  <c r="AC60" i="444" s="1"/>
  <c r="AB45" i="444"/>
  <c r="AB48" i="444" s="1"/>
  <c r="AA45" i="444"/>
  <c r="AA60" i="444" s="1"/>
  <c r="Z45" i="444"/>
  <c r="Y45" i="444"/>
  <c r="Y60" i="444" s="1"/>
  <c r="X45" i="444"/>
  <c r="X48" i="444" s="1"/>
  <c r="W45" i="444"/>
  <c r="W60" i="444" s="1"/>
  <c r="V45" i="444"/>
  <c r="U45" i="444"/>
  <c r="U60" i="444" s="1"/>
  <c r="T45" i="444"/>
  <c r="S45" i="444"/>
  <c r="S60" i="444" s="1"/>
  <c r="R45" i="444"/>
  <c r="Q45" i="444"/>
  <c r="Q60" i="444" s="1"/>
  <c r="P45" i="444"/>
  <c r="O45" i="444"/>
  <c r="O60" i="444" s="1"/>
  <c r="N45" i="444"/>
  <c r="M45" i="444"/>
  <c r="M60" i="444" s="1"/>
  <c r="L45" i="444"/>
  <c r="K45" i="444"/>
  <c r="K60" i="444" s="1"/>
  <c r="J45" i="444"/>
  <c r="I45" i="444"/>
  <c r="I60" i="444" s="1"/>
  <c r="H45" i="444"/>
  <c r="G45" i="444"/>
  <c r="G60" i="444" s="1"/>
  <c r="F45" i="444"/>
  <c r="E45" i="444"/>
  <c r="E60" i="444" s="1"/>
  <c r="D45" i="444"/>
  <c r="C45" i="444"/>
  <c r="C60" i="444" s="1"/>
  <c r="B45" i="444"/>
  <c r="AG44" i="444"/>
  <c r="AG43" i="444"/>
  <c r="AG42" i="444"/>
  <c r="AG41" i="444"/>
  <c r="AG40" i="444"/>
  <c r="AG39" i="444"/>
  <c r="AG38" i="444"/>
  <c r="AG37" i="444"/>
  <c r="AG36" i="444"/>
  <c r="AG35" i="444"/>
  <c r="AG32" i="444"/>
  <c r="AF32" i="444"/>
  <c r="AE32" i="444"/>
  <c r="AD32" i="444"/>
  <c r="AC32" i="444"/>
  <c r="AB32" i="444"/>
  <c r="AA32" i="444"/>
  <c r="Z32" i="444"/>
  <c r="Y32" i="444"/>
  <c r="X32" i="444"/>
  <c r="W32" i="444"/>
  <c r="V32" i="444"/>
  <c r="U32" i="444"/>
  <c r="T32" i="444"/>
  <c r="S32" i="444"/>
  <c r="R32" i="444"/>
  <c r="Q32" i="444"/>
  <c r="P32" i="444"/>
  <c r="O32" i="444"/>
  <c r="N32" i="444"/>
  <c r="M32" i="444"/>
  <c r="L32" i="444"/>
  <c r="K32" i="444"/>
  <c r="J32" i="444"/>
  <c r="I32" i="444"/>
  <c r="H32" i="444"/>
  <c r="G32" i="444"/>
  <c r="F32" i="444"/>
  <c r="E32" i="444"/>
  <c r="D32" i="444"/>
  <c r="C32" i="444"/>
  <c r="B32" i="444"/>
  <c r="AI32" i="444" s="1"/>
  <c r="AG30" i="444"/>
  <c r="AG29" i="444"/>
  <c r="AG28" i="444"/>
  <c r="AG27" i="444"/>
  <c r="AG26" i="444"/>
  <c r="AG25" i="444"/>
  <c r="AG23" i="444"/>
  <c r="AF23" i="444"/>
  <c r="AE23" i="444"/>
  <c r="AD23" i="444"/>
  <c r="AC23" i="444"/>
  <c r="AB23" i="444"/>
  <c r="AA23" i="444"/>
  <c r="Z23" i="444"/>
  <c r="Y23" i="444"/>
  <c r="X23" i="444"/>
  <c r="W23" i="444"/>
  <c r="V23" i="444"/>
  <c r="U23" i="444"/>
  <c r="T23" i="444"/>
  <c r="S23" i="444"/>
  <c r="R23" i="444"/>
  <c r="Q23" i="444"/>
  <c r="P23" i="444"/>
  <c r="O23" i="444"/>
  <c r="N23" i="444"/>
  <c r="M23" i="444"/>
  <c r="L23" i="444"/>
  <c r="K23" i="444"/>
  <c r="J23" i="444"/>
  <c r="I23" i="444"/>
  <c r="H23" i="444"/>
  <c r="G23" i="444"/>
  <c r="F23" i="444"/>
  <c r="E23" i="444"/>
  <c r="D23" i="444"/>
  <c r="C23" i="444"/>
  <c r="B23" i="444"/>
  <c r="AG22" i="444"/>
  <c r="AG21" i="444"/>
  <c r="AG20" i="444"/>
  <c r="AG19" i="444"/>
  <c r="AG18" i="444"/>
  <c r="AG17" i="444"/>
  <c r="AG16" i="444"/>
  <c r="AG15" i="444"/>
  <c r="AG14" i="444"/>
  <c r="AG13" i="444"/>
  <c r="B12" i="444"/>
  <c r="AO10" i="444"/>
  <c r="AH10" i="444"/>
  <c r="AG10" i="444"/>
  <c r="C10" i="444"/>
  <c r="F7" i="444"/>
  <c r="B7" i="444"/>
  <c r="V6" i="444"/>
  <c r="U6" i="444"/>
  <c r="T6" i="444"/>
  <c r="S6" i="444"/>
  <c r="R6" i="444"/>
  <c r="B9" i="444" s="1"/>
  <c r="Q6" i="444"/>
  <c r="P6" i="444"/>
  <c r="F6" i="444"/>
  <c r="B6" i="444"/>
  <c r="P5" i="444"/>
  <c r="F5" i="444"/>
  <c r="B5" i="444"/>
  <c r="F4" i="444"/>
  <c r="B4" i="444"/>
  <c r="P3" i="444"/>
  <c r="F3" i="444"/>
  <c r="B3" i="444"/>
  <c r="P2" i="444"/>
  <c r="F2" i="444"/>
  <c r="B2" i="444"/>
  <c r="AQ1" i="444"/>
  <c r="AO1" i="444"/>
  <c r="B1" i="444"/>
  <c r="A1" i="444"/>
  <c r="AI60" i="453" l="1"/>
  <c r="E114" i="444"/>
  <c r="I114" i="444"/>
  <c r="M114" i="444"/>
  <c r="Q114" i="444"/>
  <c r="U114" i="444"/>
  <c r="Y114" i="444"/>
  <c r="AC114" i="444"/>
  <c r="C12" i="444"/>
  <c r="D10" i="444"/>
  <c r="C9" i="444"/>
  <c r="AI23" i="444"/>
  <c r="B49" i="445"/>
  <c r="C47" i="444"/>
  <c r="G47" i="444"/>
  <c r="K47" i="444"/>
  <c r="O47" i="444"/>
  <c r="S47" i="444"/>
  <c r="W47" i="444"/>
  <c r="AA47" i="444"/>
  <c r="AE47" i="444"/>
  <c r="C48" i="444"/>
  <c r="G48" i="444"/>
  <c r="K48" i="444"/>
  <c r="O48" i="444"/>
  <c r="S48" i="444"/>
  <c r="W48" i="444"/>
  <c r="AA48" i="444"/>
  <c r="AE48" i="444"/>
  <c r="D60" i="444"/>
  <c r="H60" i="444"/>
  <c r="L60" i="444"/>
  <c r="P60" i="444"/>
  <c r="T60" i="444"/>
  <c r="X60" i="444"/>
  <c r="AB60" i="444"/>
  <c r="B114" i="444"/>
  <c r="F114" i="444"/>
  <c r="J114" i="444"/>
  <c r="N114" i="444"/>
  <c r="R114" i="444"/>
  <c r="V114" i="444"/>
  <c r="Z114" i="444"/>
  <c r="AD114" i="444"/>
  <c r="D10" i="445"/>
  <c r="C12" i="445"/>
  <c r="AG23" i="445"/>
  <c r="B48" i="445"/>
  <c r="F48" i="445"/>
  <c r="J48" i="445"/>
  <c r="N48" i="445"/>
  <c r="R48" i="445"/>
  <c r="V48" i="445"/>
  <c r="Z48" i="445"/>
  <c r="AD48" i="445"/>
  <c r="C60" i="445"/>
  <c r="G60" i="445"/>
  <c r="K60" i="445"/>
  <c r="O60" i="445"/>
  <c r="S60" i="445"/>
  <c r="W60" i="445"/>
  <c r="AA60" i="445"/>
  <c r="C114" i="445"/>
  <c r="AG114" i="445" s="1"/>
  <c r="G114" i="445"/>
  <c r="K114" i="445"/>
  <c r="O114" i="445"/>
  <c r="S114" i="445"/>
  <c r="W114" i="445"/>
  <c r="AA114" i="445"/>
  <c r="C9" i="446"/>
  <c r="C48" i="446"/>
  <c r="G48" i="446"/>
  <c r="K48" i="446"/>
  <c r="O48" i="446"/>
  <c r="S48" i="446"/>
  <c r="W48" i="446"/>
  <c r="AA48" i="446"/>
  <c r="AE48" i="446"/>
  <c r="D47" i="444"/>
  <c r="D48" i="444" s="1"/>
  <c r="H47" i="444"/>
  <c r="H48" i="444" s="1"/>
  <c r="L47" i="444"/>
  <c r="L48" i="444" s="1"/>
  <c r="P47" i="444"/>
  <c r="T47" i="444"/>
  <c r="T48" i="444" s="1"/>
  <c r="C114" i="444"/>
  <c r="G114" i="444"/>
  <c r="K114" i="444"/>
  <c r="O114" i="444"/>
  <c r="S114" i="444"/>
  <c r="W114" i="444"/>
  <c r="AA114" i="444"/>
  <c r="AE114" i="444"/>
  <c r="AG45" i="445"/>
  <c r="E47" i="445"/>
  <c r="I47" i="445"/>
  <c r="I48" i="445" s="1"/>
  <c r="M47" i="445"/>
  <c r="M48" i="445" s="1"/>
  <c r="Q47" i="445"/>
  <c r="Q48" i="445" s="1"/>
  <c r="U47" i="445"/>
  <c r="Y47" i="445"/>
  <c r="Y48" i="445" s="1"/>
  <c r="AC47" i="445"/>
  <c r="AC48" i="445" s="1"/>
  <c r="D114" i="446"/>
  <c r="H114" i="446"/>
  <c r="L114" i="446"/>
  <c r="P114" i="446"/>
  <c r="T114" i="446"/>
  <c r="X114" i="446"/>
  <c r="AB114" i="446"/>
  <c r="AF114" i="446"/>
  <c r="D47" i="446"/>
  <c r="H47" i="446"/>
  <c r="L47" i="446"/>
  <c r="P47" i="446"/>
  <c r="T47" i="446"/>
  <c r="X47" i="446"/>
  <c r="AB47" i="446"/>
  <c r="AF47" i="446"/>
  <c r="D48" i="446"/>
  <c r="C49" i="446" s="1"/>
  <c r="H48" i="446"/>
  <c r="L48" i="446"/>
  <c r="P48" i="446"/>
  <c r="T48" i="446"/>
  <c r="X48" i="446"/>
  <c r="AB48" i="446"/>
  <c r="AF48" i="446"/>
  <c r="AI45" i="444"/>
  <c r="E48" i="444"/>
  <c r="I48" i="444"/>
  <c r="M48" i="444"/>
  <c r="Q48" i="444"/>
  <c r="U48" i="444"/>
  <c r="Y48" i="444"/>
  <c r="AC48" i="444"/>
  <c r="B60" i="444"/>
  <c r="F60" i="444"/>
  <c r="J60" i="444"/>
  <c r="N60" i="444"/>
  <c r="R60" i="444"/>
  <c r="V60" i="444"/>
  <c r="Z60" i="444"/>
  <c r="AD60" i="444"/>
  <c r="D114" i="444"/>
  <c r="H114" i="444"/>
  <c r="L114" i="444"/>
  <c r="P114" i="444"/>
  <c r="T114" i="444"/>
  <c r="X114" i="444"/>
  <c r="AB114" i="444"/>
  <c r="AF114" i="444"/>
  <c r="E60" i="445"/>
  <c r="I60" i="445"/>
  <c r="M60" i="445"/>
  <c r="Q60" i="445"/>
  <c r="U60" i="445"/>
  <c r="Y60" i="445"/>
  <c r="AC60" i="445"/>
  <c r="E114" i="445"/>
  <c r="I114" i="445"/>
  <c r="M114" i="445"/>
  <c r="Q114" i="445"/>
  <c r="U114" i="445"/>
  <c r="Y114" i="445"/>
  <c r="AC114" i="445"/>
  <c r="AI60" i="446"/>
  <c r="AI45" i="446"/>
  <c r="B47" i="444"/>
  <c r="B49" i="444" s="1"/>
  <c r="F47" i="444"/>
  <c r="J47" i="444"/>
  <c r="N47" i="444"/>
  <c r="R47" i="444"/>
  <c r="R48" i="444" s="1"/>
  <c r="V47" i="444"/>
  <c r="Z47" i="444"/>
  <c r="AD47" i="444"/>
  <c r="D10" i="446"/>
  <c r="C12" i="446"/>
  <c r="AI114" i="446"/>
  <c r="AI23" i="446"/>
  <c r="B47" i="446"/>
  <c r="B49" i="446" s="1"/>
  <c r="F47" i="446"/>
  <c r="B48" i="446"/>
  <c r="F48" i="446"/>
  <c r="J48" i="446"/>
  <c r="D12" i="447"/>
  <c r="D47" i="447"/>
  <c r="H47" i="447"/>
  <c r="L47" i="447"/>
  <c r="P47" i="447"/>
  <c r="T47" i="447"/>
  <c r="X47" i="447"/>
  <c r="AB47" i="447"/>
  <c r="E48" i="447"/>
  <c r="I48" i="447"/>
  <c r="M48" i="447"/>
  <c r="Q48" i="447"/>
  <c r="U48" i="447"/>
  <c r="Y48" i="447"/>
  <c r="AC48" i="447"/>
  <c r="B60" i="447"/>
  <c r="F60" i="447"/>
  <c r="J60" i="447"/>
  <c r="N60" i="447"/>
  <c r="R60" i="447"/>
  <c r="V60" i="447"/>
  <c r="Z60" i="447"/>
  <c r="AD60" i="447"/>
  <c r="C114" i="447"/>
  <c r="AH114" i="447" s="1"/>
  <c r="G114" i="447"/>
  <c r="K114" i="447"/>
  <c r="O114" i="447"/>
  <c r="S114" i="447"/>
  <c r="W114" i="447"/>
  <c r="AA114" i="447"/>
  <c r="AE114" i="447"/>
  <c r="D10" i="448"/>
  <c r="C12" i="448"/>
  <c r="AI23" i="448"/>
  <c r="B47" i="448"/>
  <c r="F47" i="448"/>
  <c r="F48" i="448" s="1"/>
  <c r="J47" i="448"/>
  <c r="N47" i="448"/>
  <c r="N48" i="448" s="1"/>
  <c r="R47" i="448"/>
  <c r="B48" i="448"/>
  <c r="J48" i="448"/>
  <c r="R48" i="448"/>
  <c r="V48" i="448"/>
  <c r="Z48" i="448"/>
  <c r="AD48" i="448"/>
  <c r="C60" i="448"/>
  <c r="G60" i="448"/>
  <c r="K60" i="448"/>
  <c r="O60" i="448"/>
  <c r="S60" i="448"/>
  <c r="W60" i="448"/>
  <c r="AA60" i="448"/>
  <c r="AE60" i="448"/>
  <c r="E114" i="448"/>
  <c r="AI114" i="448" s="1"/>
  <c r="M114" i="448"/>
  <c r="U114" i="448"/>
  <c r="AC114" i="448"/>
  <c r="AH23" i="447"/>
  <c r="AH45" i="447"/>
  <c r="B48" i="447"/>
  <c r="F48" i="447"/>
  <c r="J48" i="447"/>
  <c r="N48" i="447"/>
  <c r="R48" i="447"/>
  <c r="V48" i="447"/>
  <c r="Z48" i="447"/>
  <c r="AD48" i="447"/>
  <c r="C60" i="447"/>
  <c r="G60" i="447"/>
  <c r="K60" i="447"/>
  <c r="O60" i="447"/>
  <c r="S60" i="447"/>
  <c r="W60" i="447"/>
  <c r="AA60" i="447"/>
  <c r="AE60" i="447"/>
  <c r="C9" i="448"/>
  <c r="C47" i="448"/>
  <c r="G47" i="448"/>
  <c r="G48" i="448" s="1"/>
  <c r="K47" i="448"/>
  <c r="K48" i="448" s="1"/>
  <c r="O47" i="448"/>
  <c r="O48" i="448" s="1"/>
  <c r="S47" i="448"/>
  <c r="W47" i="448"/>
  <c r="W48" i="448" s="1"/>
  <c r="AA47" i="448"/>
  <c r="AA48" i="448" s="1"/>
  <c r="AE47" i="448"/>
  <c r="AE48" i="448" s="1"/>
  <c r="F114" i="448"/>
  <c r="N114" i="448"/>
  <c r="V114" i="448"/>
  <c r="AD114" i="448"/>
  <c r="B49" i="449"/>
  <c r="E10" i="447"/>
  <c r="E49" i="447" s="1"/>
  <c r="C48" i="447"/>
  <c r="B49" i="447" s="1"/>
  <c r="G48" i="447"/>
  <c r="K48" i="447"/>
  <c r="O48" i="447"/>
  <c r="S48" i="447"/>
  <c r="W48" i="447"/>
  <c r="AA48" i="447"/>
  <c r="AE48" i="447"/>
  <c r="D48" i="448"/>
  <c r="H48" i="448"/>
  <c r="L48" i="448"/>
  <c r="P48" i="448"/>
  <c r="T48" i="448"/>
  <c r="X48" i="448"/>
  <c r="AB48" i="448"/>
  <c r="AF48" i="448"/>
  <c r="E60" i="448"/>
  <c r="I60" i="448"/>
  <c r="M60" i="448"/>
  <c r="Q60" i="448"/>
  <c r="U60" i="448"/>
  <c r="Y60" i="448"/>
  <c r="AC60" i="448"/>
  <c r="AI112" i="448"/>
  <c r="C48" i="449"/>
  <c r="G48" i="449"/>
  <c r="K48" i="449"/>
  <c r="O48" i="449"/>
  <c r="S48" i="449"/>
  <c r="W48" i="449"/>
  <c r="AA48" i="449"/>
  <c r="AE48" i="449"/>
  <c r="AI45" i="448"/>
  <c r="E47" i="448"/>
  <c r="I47" i="448"/>
  <c r="M47" i="448"/>
  <c r="Q47" i="448"/>
  <c r="U47" i="448"/>
  <c r="Y47" i="448"/>
  <c r="AC47" i="448"/>
  <c r="D47" i="449"/>
  <c r="H47" i="449"/>
  <c r="L47" i="449"/>
  <c r="P47" i="449"/>
  <c r="T47" i="449"/>
  <c r="X47" i="449"/>
  <c r="AB47" i="449"/>
  <c r="E48" i="449"/>
  <c r="U48" i="449"/>
  <c r="B60" i="449"/>
  <c r="F60" i="449"/>
  <c r="J60" i="449"/>
  <c r="N60" i="449"/>
  <c r="R60" i="449"/>
  <c r="V60" i="449"/>
  <c r="Z60" i="449"/>
  <c r="AD60" i="449"/>
  <c r="C114" i="449"/>
  <c r="AH114" i="449" s="1"/>
  <c r="N114" i="449"/>
  <c r="S114" i="449"/>
  <c r="AD114" i="449"/>
  <c r="D10" i="449"/>
  <c r="AH23" i="449"/>
  <c r="AH45" i="449"/>
  <c r="E47" i="449"/>
  <c r="I47" i="449"/>
  <c r="I48" i="449" s="1"/>
  <c r="M47" i="449"/>
  <c r="M48" i="449" s="1"/>
  <c r="Q47" i="449"/>
  <c r="Q48" i="449" s="1"/>
  <c r="U47" i="449"/>
  <c r="Y47" i="449"/>
  <c r="Y48" i="449" s="1"/>
  <c r="AC47" i="449"/>
  <c r="B48" i="449"/>
  <c r="F48" i="449"/>
  <c r="J48" i="449"/>
  <c r="N48" i="449"/>
  <c r="R48" i="449"/>
  <c r="V48" i="449"/>
  <c r="Z48" i="449"/>
  <c r="AD48" i="449"/>
  <c r="C60" i="449"/>
  <c r="G60" i="449"/>
  <c r="K60" i="449"/>
  <c r="O60" i="449"/>
  <c r="S60" i="449"/>
  <c r="W60" i="449"/>
  <c r="AA60" i="449"/>
  <c r="AE60" i="449"/>
  <c r="O114" i="449"/>
  <c r="AE114" i="449"/>
  <c r="D60" i="449"/>
  <c r="H60" i="449"/>
  <c r="L60" i="449"/>
  <c r="P60" i="449"/>
  <c r="T60" i="449"/>
  <c r="X60" i="449"/>
  <c r="AB60" i="449"/>
  <c r="K48" i="450"/>
  <c r="AA48" i="450"/>
  <c r="C12" i="449"/>
  <c r="C9" i="450"/>
  <c r="C12" i="450"/>
  <c r="D10" i="450"/>
  <c r="D49" i="450" s="1"/>
  <c r="AI45" i="450"/>
  <c r="E47" i="450"/>
  <c r="I47" i="450"/>
  <c r="I48" i="450" s="1"/>
  <c r="M47" i="450"/>
  <c r="Q47" i="450"/>
  <c r="U47" i="450"/>
  <c r="Y47" i="450"/>
  <c r="Y48" i="450" s="1"/>
  <c r="AC47" i="450"/>
  <c r="E48" i="450"/>
  <c r="M48" i="450"/>
  <c r="U48" i="450"/>
  <c r="AC48" i="450"/>
  <c r="C9" i="451"/>
  <c r="C12" i="451"/>
  <c r="D10" i="451"/>
  <c r="AI114" i="450"/>
  <c r="AI23" i="450"/>
  <c r="B48" i="450"/>
  <c r="F48" i="450"/>
  <c r="J48" i="450"/>
  <c r="N48" i="450"/>
  <c r="R48" i="450"/>
  <c r="V48" i="450"/>
  <c r="Z48" i="450"/>
  <c r="AD48" i="450"/>
  <c r="C60" i="450"/>
  <c r="G60" i="450"/>
  <c r="K60" i="450"/>
  <c r="O60" i="450"/>
  <c r="S60" i="450"/>
  <c r="W60" i="450"/>
  <c r="AA60" i="450"/>
  <c r="AE60" i="450"/>
  <c r="C47" i="450"/>
  <c r="C49" i="450" s="1"/>
  <c r="G47" i="450"/>
  <c r="G48" i="450" s="1"/>
  <c r="K47" i="450"/>
  <c r="O47" i="450"/>
  <c r="O48" i="450" s="1"/>
  <c r="S47" i="450"/>
  <c r="S48" i="450" s="1"/>
  <c r="W47" i="450"/>
  <c r="W48" i="450" s="1"/>
  <c r="AA47" i="450"/>
  <c r="AE47" i="450"/>
  <c r="AE48" i="450" s="1"/>
  <c r="D47" i="451"/>
  <c r="H47" i="451"/>
  <c r="L47" i="451"/>
  <c r="P47" i="451"/>
  <c r="T47" i="451"/>
  <c r="X47" i="451"/>
  <c r="AB47" i="451"/>
  <c r="AF47" i="451"/>
  <c r="D48" i="451"/>
  <c r="H48" i="451"/>
  <c r="L48" i="451"/>
  <c r="P48" i="451"/>
  <c r="T48" i="451"/>
  <c r="X48" i="451"/>
  <c r="AB48" i="451"/>
  <c r="AF48" i="451"/>
  <c r="C49" i="451"/>
  <c r="Q114" i="451"/>
  <c r="AI45" i="451"/>
  <c r="E48" i="451"/>
  <c r="I48" i="451"/>
  <c r="M48" i="451"/>
  <c r="Q48" i="451"/>
  <c r="U48" i="451"/>
  <c r="Y48" i="451"/>
  <c r="AC48" i="451"/>
  <c r="B60" i="451"/>
  <c r="F60" i="451"/>
  <c r="J60" i="451"/>
  <c r="N60" i="451"/>
  <c r="R60" i="451"/>
  <c r="V60" i="451"/>
  <c r="Z60" i="451"/>
  <c r="AD60" i="451"/>
  <c r="E114" i="451"/>
  <c r="AI114" i="451" s="1"/>
  <c r="U114" i="451"/>
  <c r="R48" i="452"/>
  <c r="V48" i="452"/>
  <c r="Z48" i="452"/>
  <c r="AD48" i="452"/>
  <c r="AI23" i="451"/>
  <c r="B47" i="451"/>
  <c r="B49" i="451" s="1"/>
  <c r="F47" i="451"/>
  <c r="J47" i="451"/>
  <c r="N47" i="451"/>
  <c r="N48" i="451" s="1"/>
  <c r="R47" i="451"/>
  <c r="V47" i="451"/>
  <c r="Z47" i="451"/>
  <c r="AD47" i="451"/>
  <c r="AD48" i="451" s="1"/>
  <c r="I114" i="451"/>
  <c r="Y114" i="451"/>
  <c r="K48" i="452"/>
  <c r="AA48" i="452"/>
  <c r="C47" i="452"/>
  <c r="C48" i="452" s="1"/>
  <c r="B49" i="452" s="1"/>
  <c r="G47" i="452"/>
  <c r="G48" i="452" s="1"/>
  <c r="K47" i="452"/>
  <c r="O47" i="452"/>
  <c r="O48" i="452" s="1"/>
  <c r="S47" i="452"/>
  <c r="S48" i="452" s="1"/>
  <c r="W47" i="452"/>
  <c r="W48" i="452" s="1"/>
  <c r="AA47" i="452"/>
  <c r="AE47" i="452"/>
  <c r="AE48" i="452" s="1"/>
  <c r="P48" i="452"/>
  <c r="E60" i="452"/>
  <c r="I60" i="452"/>
  <c r="M60" i="452"/>
  <c r="Q60" i="452"/>
  <c r="U60" i="452"/>
  <c r="Y60" i="452"/>
  <c r="AC60" i="452"/>
  <c r="N114" i="452"/>
  <c r="AD114" i="452"/>
  <c r="D47" i="452"/>
  <c r="D49" i="452" s="1"/>
  <c r="H47" i="452"/>
  <c r="H48" i="452" s="1"/>
  <c r="L47" i="452"/>
  <c r="L48" i="452" s="1"/>
  <c r="P47" i="452"/>
  <c r="T47" i="452"/>
  <c r="T48" i="452" s="1"/>
  <c r="X47" i="452"/>
  <c r="X48" i="452" s="1"/>
  <c r="AB47" i="452"/>
  <c r="AB48" i="452" s="1"/>
  <c r="E48" i="452"/>
  <c r="I48" i="452"/>
  <c r="M48" i="452"/>
  <c r="Q48" i="452"/>
  <c r="U48" i="452"/>
  <c r="Y48" i="452"/>
  <c r="AC48" i="452"/>
  <c r="B60" i="452"/>
  <c r="F60" i="452"/>
  <c r="J60" i="452"/>
  <c r="N60" i="452"/>
  <c r="R60" i="452"/>
  <c r="V60" i="452"/>
  <c r="Z60" i="452"/>
  <c r="AD60" i="452"/>
  <c r="B114" i="452"/>
  <c r="R114" i="452"/>
  <c r="D10" i="452"/>
  <c r="AH23" i="452"/>
  <c r="AH45" i="452"/>
  <c r="B48" i="452"/>
  <c r="F48" i="452"/>
  <c r="J48" i="452"/>
  <c r="N48" i="452"/>
  <c r="C60" i="452"/>
  <c r="G60" i="452"/>
  <c r="K60" i="452"/>
  <c r="O60" i="452"/>
  <c r="S60" i="452"/>
  <c r="W60" i="452"/>
  <c r="AA60" i="452"/>
  <c r="AE60" i="452"/>
  <c r="C12" i="453"/>
  <c r="D10" i="453"/>
  <c r="C9" i="453"/>
  <c r="C47" i="453"/>
  <c r="G47" i="453"/>
  <c r="K47" i="453"/>
  <c r="O47" i="453"/>
  <c r="S47" i="453"/>
  <c r="W47" i="453"/>
  <c r="AA47" i="453"/>
  <c r="AE47" i="453"/>
  <c r="C48" i="453"/>
  <c r="G48" i="453"/>
  <c r="K48" i="453"/>
  <c r="O48" i="453"/>
  <c r="S48" i="453"/>
  <c r="W48" i="453"/>
  <c r="AA48" i="453"/>
  <c r="AE48" i="453"/>
  <c r="D47" i="453"/>
  <c r="H47" i="453"/>
  <c r="L47" i="453"/>
  <c r="P47" i="453"/>
  <c r="T47" i="453"/>
  <c r="X47" i="453"/>
  <c r="AB47" i="453"/>
  <c r="AF47" i="453"/>
  <c r="D48" i="453"/>
  <c r="H48" i="453"/>
  <c r="L48" i="453"/>
  <c r="P48" i="453"/>
  <c r="T48" i="453"/>
  <c r="X48" i="453"/>
  <c r="AB48" i="453"/>
  <c r="AF48" i="453"/>
  <c r="AI62" i="453"/>
  <c r="AI45" i="453"/>
  <c r="E47" i="453"/>
  <c r="I47" i="453"/>
  <c r="M47" i="453"/>
  <c r="Q47" i="453"/>
  <c r="E48" i="453"/>
  <c r="I48" i="453"/>
  <c r="M48" i="453"/>
  <c r="Q48" i="453"/>
  <c r="U48" i="453"/>
  <c r="Y48" i="453"/>
  <c r="AC48" i="453"/>
  <c r="AI114" i="453"/>
  <c r="AI23" i="453"/>
  <c r="B47" i="453"/>
  <c r="B49" i="453" s="1"/>
  <c r="F47" i="453"/>
  <c r="J47" i="453"/>
  <c r="N47" i="453"/>
  <c r="R47" i="453"/>
  <c r="V47" i="453"/>
  <c r="Z47" i="453"/>
  <c r="AD47" i="453"/>
  <c r="B48" i="453"/>
  <c r="F48" i="453"/>
  <c r="J48" i="453"/>
  <c r="N48" i="453"/>
  <c r="R48" i="453"/>
  <c r="V48" i="453"/>
  <c r="Z48" i="453"/>
  <c r="AD48" i="453"/>
  <c r="Z48" i="454"/>
  <c r="H48" i="454"/>
  <c r="P48" i="454"/>
  <c r="X48" i="454"/>
  <c r="D47" i="454"/>
  <c r="D49" i="454" s="1"/>
  <c r="H47" i="454"/>
  <c r="L47" i="454"/>
  <c r="L48" i="454" s="1"/>
  <c r="P47" i="454"/>
  <c r="T47" i="454"/>
  <c r="X47" i="454"/>
  <c r="AB47" i="454"/>
  <c r="AB48" i="454" s="1"/>
  <c r="E48" i="454"/>
  <c r="Q48" i="454"/>
  <c r="U48" i="454"/>
  <c r="B60" i="454"/>
  <c r="F60" i="454"/>
  <c r="J60" i="454"/>
  <c r="N60" i="454"/>
  <c r="R60" i="454"/>
  <c r="V60" i="454"/>
  <c r="Z60" i="454"/>
  <c r="AE60" i="454"/>
  <c r="D10" i="454"/>
  <c r="AH23" i="454"/>
  <c r="AH45" i="454"/>
  <c r="E47" i="454"/>
  <c r="I47" i="454"/>
  <c r="I48" i="454" s="1"/>
  <c r="M47" i="454"/>
  <c r="M48" i="454" s="1"/>
  <c r="Q47" i="454"/>
  <c r="U47" i="454"/>
  <c r="Y47" i="454"/>
  <c r="Y48" i="454" s="1"/>
  <c r="AC47" i="454"/>
  <c r="AC48" i="454" s="1"/>
  <c r="B48" i="454"/>
  <c r="F48" i="454"/>
  <c r="J48" i="454"/>
  <c r="N48" i="454"/>
  <c r="R48" i="454"/>
  <c r="V48" i="454"/>
  <c r="C60" i="454"/>
  <c r="G60" i="454"/>
  <c r="K60" i="454"/>
  <c r="O60" i="454"/>
  <c r="S60" i="454"/>
  <c r="W60" i="454"/>
  <c r="AA60" i="454"/>
  <c r="AD47" i="454"/>
  <c r="C48" i="454"/>
  <c r="B49" i="454" s="1"/>
  <c r="G48" i="454"/>
  <c r="K48" i="454"/>
  <c r="O48" i="454"/>
  <c r="S48" i="454"/>
  <c r="W48" i="454"/>
  <c r="AA48" i="454"/>
  <c r="AE48" i="454"/>
  <c r="D60" i="454"/>
  <c r="H60" i="454"/>
  <c r="L60" i="454"/>
  <c r="P60" i="454"/>
  <c r="T60" i="454"/>
  <c r="X60" i="454"/>
  <c r="AB60" i="454"/>
  <c r="AH112" i="454"/>
  <c r="C9" i="455"/>
  <c r="C12" i="455"/>
  <c r="D10" i="455"/>
  <c r="B114" i="455"/>
  <c r="F114" i="455"/>
  <c r="J114" i="455"/>
  <c r="N114" i="455"/>
  <c r="R114" i="455"/>
  <c r="V114" i="455"/>
  <c r="Z114" i="455"/>
  <c r="AD114" i="455"/>
  <c r="AI23" i="455"/>
  <c r="C48" i="455"/>
  <c r="K48" i="455"/>
  <c r="S48" i="455"/>
  <c r="AA48" i="455"/>
  <c r="D47" i="455"/>
  <c r="D49" i="455" s="1"/>
  <c r="D60" i="455"/>
  <c r="H48" i="455"/>
  <c r="H47" i="455"/>
  <c r="H60" i="455"/>
  <c r="L47" i="455"/>
  <c r="L60" i="455"/>
  <c r="P48" i="455"/>
  <c r="P47" i="455"/>
  <c r="P60" i="455"/>
  <c r="T47" i="455"/>
  <c r="T60" i="455"/>
  <c r="X48" i="455"/>
  <c r="X47" i="455"/>
  <c r="X60" i="455"/>
  <c r="AB47" i="455"/>
  <c r="AB60" i="455"/>
  <c r="AF48" i="455"/>
  <c r="AF47" i="455"/>
  <c r="AF60" i="455"/>
  <c r="E48" i="455"/>
  <c r="M48" i="455"/>
  <c r="U48" i="455"/>
  <c r="AC48" i="455"/>
  <c r="D114" i="455"/>
  <c r="H114" i="455"/>
  <c r="L114" i="455"/>
  <c r="P114" i="455"/>
  <c r="T114" i="455"/>
  <c r="X114" i="455"/>
  <c r="AB114" i="455"/>
  <c r="AF114" i="455"/>
  <c r="G48" i="455"/>
  <c r="O48" i="455"/>
  <c r="W48" i="455"/>
  <c r="AE48" i="455"/>
  <c r="E114" i="455"/>
  <c r="I114" i="455"/>
  <c r="M114" i="455"/>
  <c r="Q114" i="455"/>
  <c r="U114" i="455"/>
  <c r="Y114" i="455"/>
  <c r="AC114" i="455"/>
  <c r="B60" i="455"/>
  <c r="B47" i="455"/>
  <c r="B49" i="455" s="1"/>
  <c r="F60" i="455"/>
  <c r="F48" i="455"/>
  <c r="F47" i="455"/>
  <c r="J60" i="455"/>
  <c r="J47" i="455"/>
  <c r="N60" i="455"/>
  <c r="N48" i="455"/>
  <c r="N47" i="455"/>
  <c r="R60" i="455"/>
  <c r="R47" i="455"/>
  <c r="R48" i="455" s="1"/>
  <c r="V60" i="455"/>
  <c r="V48" i="455"/>
  <c r="V47" i="455"/>
  <c r="Z60" i="455"/>
  <c r="Z47" i="455"/>
  <c r="AD60" i="455"/>
  <c r="AD48" i="455"/>
  <c r="AD47" i="455"/>
  <c r="AI45" i="455"/>
  <c r="I48" i="455"/>
  <c r="Q48" i="455"/>
  <c r="Y48" i="455"/>
  <c r="AC4" i="15"/>
  <c r="AG60" i="445" l="1"/>
  <c r="AG62" i="445" s="1"/>
  <c r="AI60" i="450"/>
  <c r="AI62" i="450" s="1"/>
  <c r="AI60" i="448"/>
  <c r="AI62" i="448" s="1"/>
  <c r="B48" i="455"/>
  <c r="T48" i="455"/>
  <c r="D48" i="455"/>
  <c r="C49" i="455" s="1"/>
  <c r="D9" i="455"/>
  <c r="D12" i="455"/>
  <c r="E10" i="455"/>
  <c r="E49" i="454"/>
  <c r="E10" i="454"/>
  <c r="D12" i="454"/>
  <c r="D9" i="454"/>
  <c r="AH60" i="454"/>
  <c r="C49" i="453"/>
  <c r="D9" i="453"/>
  <c r="D12" i="453"/>
  <c r="E10" i="453"/>
  <c r="AH114" i="452"/>
  <c r="D12" i="451"/>
  <c r="E10" i="451"/>
  <c r="D9" i="451"/>
  <c r="E10" i="449"/>
  <c r="D12" i="449"/>
  <c r="D9" i="449"/>
  <c r="AB48" i="449"/>
  <c r="L48" i="449"/>
  <c r="C49" i="448"/>
  <c r="AH60" i="447"/>
  <c r="X48" i="447"/>
  <c r="H48" i="447"/>
  <c r="Q48" i="448"/>
  <c r="AI60" i="444"/>
  <c r="D49" i="446"/>
  <c r="B48" i="444"/>
  <c r="D49" i="453"/>
  <c r="E10" i="452"/>
  <c r="D12" i="452"/>
  <c r="D9" i="452"/>
  <c r="Z48" i="451"/>
  <c r="J48" i="451"/>
  <c r="C48" i="450"/>
  <c r="B49" i="450" s="1"/>
  <c r="X48" i="449"/>
  <c r="H48" i="449"/>
  <c r="D9" i="448"/>
  <c r="D12" i="448"/>
  <c r="E10" i="448"/>
  <c r="T48" i="447"/>
  <c r="D49" i="447"/>
  <c r="D48" i="447"/>
  <c r="C49" i="447" s="1"/>
  <c r="AC48" i="448"/>
  <c r="M48" i="448"/>
  <c r="D9" i="446"/>
  <c r="D12" i="446"/>
  <c r="E10" i="446"/>
  <c r="AI62" i="446"/>
  <c r="AD48" i="444"/>
  <c r="N48" i="444"/>
  <c r="D9" i="444"/>
  <c r="D12" i="444"/>
  <c r="E10" i="444"/>
  <c r="AI60" i="455"/>
  <c r="Z48" i="455"/>
  <c r="J48" i="455"/>
  <c r="AB48" i="455"/>
  <c r="L48" i="455"/>
  <c r="T48" i="454"/>
  <c r="D48" i="454"/>
  <c r="C49" i="454" s="1"/>
  <c r="AH60" i="452"/>
  <c r="D48" i="452"/>
  <c r="C49" i="452" s="1"/>
  <c r="D49" i="451"/>
  <c r="V48" i="451"/>
  <c r="F48" i="451"/>
  <c r="Q48" i="450"/>
  <c r="AC48" i="449"/>
  <c r="AH60" i="449"/>
  <c r="D49" i="449"/>
  <c r="T48" i="449"/>
  <c r="D48" i="449"/>
  <c r="C49" i="449" s="1"/>
  <c r="P48" i="447"/>
  <c r="Y48" i="448"/>
  <c r="I48" i="448"/>
  <c r="C49" i="444"/>
  <c r="Z48" i="444"/>
  <c r="J48" i="444"/>
  <c r="AI114" i="455"/>
  <c r="AD48" i="454"/>
  <c r="E49" i="453"/>
  <c r="AI60" i="451"/>
  <c r="R48" i="451"/>
  <c r="B48" i="451"/>
  <c r="D9" i="450"/>
  <c r="D12" i="450"/>
  <c r="E10" i="450"/>
  <c r="P48" i="449"/>
  <c r="E49" i="448"/>
  <c r="E12" i="447"/>
  <c r="E9" i="447"/>
  <c r="F10" i="447"/>
  <c r="AB48" i="447"/>
  <c r="L48" i="447"/>
  <c r="U48" i="448"/>
  <c r="E48" i="448"/>
  <c r="S48" i="448"/>
  <c r="C48" i="448"/>
  <c r="B49" i="448" s="1"/>
  <c r="D49" i="444"/>
  <c r="D49" i="448"/>
  <c r="D12" i="445"/>
  <c r="E10" i="445"/>
  <c r="D9" i="445"/>
  <c r="AI114" i="444"/>
  <c r="V48" i="444"/>
  <c r="F48" i="444"/>
  <c r="U48" i="445"/>
  <c r="E48" i="445"/>
  <c r="D49" i="445" s="1"/>
  <c r="P48" i="444"/>
  <c r="AI62" i="451" l="1"/>
  <c r="E49" i="446"/>
  <c r="E9" i="446"/>
  <c r="E12" i="446"/>
  <c r="F10" i="446"/>
  <c r="E12" i="452"/>
  <c r="E9" i="452"/>
  <c r="F10" i="452"/>
  <c r="E49" i="452"/>
  <c r="E12" i="453"/>
  <c r="F10" i="453"/>
  <c r="E9" i="453"/>
  <c r="AH62" i="454"/>
  <c r="E12" i="454"/>
  <c r="E9" i="454"/>
  <c r="F10" i="454"/>
  <c r="E12" i="445"/>
  <c r="F10" i="445"/>
  <c r="E9" i="445"/>
  <c r="F12" i="447"/>
  <c r="F9" i="447"/>
  <c r="G10" i="447"/>
  <c r="F49" i="447"/>
  <c r="AH62" i="449"/>
  <c r="AH62" i="452"/>
  <c r="E12" i="444"/>
  <c r="F10" i="444"/>
  <c r="E9" i="444"/>
  <c r="E49" i="444"/>
  <c r="E49" i="445"/>
  <c r="AI62" i="444"/>
  <c r="E12" i="455"/>
  <c r="F10" i="455"/>
  <c r="E9" i="455"/>
  <c r="E49" i="455"/>
  <c r="E12" i="450"/>
  <c r="F10" i="450"/>
  <c r="E9" i="450"/>
  <c r="E9" i="448"/>
  <c r="E12" i="448"/>
  <c r="F10" i="448"/>
  <c r="E49" i="450"/>
  <c r="AI62" i="455"/>
  <c r="AH62" i="447"/>
  <c r="E12" i="449"/>
  <c r="E9" i="449"/>
  <c r="F10" i="449"/>
  <c r="E49" i="449"/>
  <c r="E12" i="451"/>
  <c r="F10" i="451"/>
  <c r="E9" i="451"/>
  <c r="E49" i="451"/>
  <c r="F9" i="451" l="1"/>
  <c r="F12" i="451"/>
  <c r="G10" i="451"/>
  <c r="F49" i="451"/>
  <c r="F12" i="449"/>
  <c r="F9" i="449"/>
  <c r="G10" i="449"/>
  <c r="F49" i="449"/>
  <c r="F12" i="450"/>
  <c r="F9" i="450"/>
  <c r="G10" i="450"/>
  <c r="F49" i="450"/>
  <c r="F12" i="455"/>
  <c r="F9" i="455"/>
  <c r="G10" i="455"/>
  <c r="F49" i="455"/>
  <c r="G10" i="444"/>
  <c r="F9" i="444"/>
  <c r="F12" i="444"/>
  <c r="F49" i="444"/>
  <c r="G12" i="447"/>
  <c r="H10" i="447"/>
  <c r="G9" i="447"/>
  <c r="G49" i="447"/>
  <c r="F12" i="454"/>
  <c r="F9" i="454"/>
  <c r="G10" i="454"/>
  <c r="F49" i="454"/>
  <c r="F12" i="452"/>
  <c r="F9" i="452"/>
  <c r="G10" i="452"/>
  <c r="F49" i="452"/>
  <c r="F12" i="448"/>
  <c r="G10" i="448"/>
  <c r="F9" i="448"/>
  <c r="F49" i="448"/>
  <c r="F9" i="453"/>
  <c r="F12" i="453"/>
  <c r="G10" i="453"/>
  <c r="F49" i="453"/>
  <c r="F12" i="445"/>
  <c r="G10" i="445"/>
  <c r="F9" i="445"/>
  <c r="F49" i="445"/>
  <c r="F9" i="446"/>
  <c r="F12" i="446"/>
  <c r="G10" i="446"/>
  <c r="F49" i="446"/>
  <c r="H10" i="452" l="1"/>
  <c r="G12" i="452"/>
  <c r="G9" i="452"/>
  <c r="G49" i="452"/>
  <c r="I10" i="447"/>
  <c r="H12" i="447"/>
  <c r="H9" i="447"/>
  <c r="H49" i="447"/>
  <c r="G12" i="444"/>
  <c r="H10" i="444"/>
  <c r="G9" i="444"/>
  <c r="G49" i="444"/>
  <c r="G9" i="450"/>
  <c r="G12" i="450"/>
  <c r="H10" i="450"/>
  <c r="G49" i="450"/>
  <c r="G9" i="451"/>
  <c r="G12" i="451"/>
  <c r="H10" i="451"/>
  <c r="G49" i="451"/>
  <c r="G12" i="453"/>
  <c r="H10" i="453"/>
  <c r="G9" i="453"/>
  <c r="G49" i="453"/>
  <c r="G9" i="455"/>
  <c r="G12" i="455"/>
  <c r="H10" i="455"/>
  <c r="G49" i="455"/>
  <c r="G12" i="454"/>
  <c r="H10" i="454"/>
  <c r="G9" i="454"/>
  <c r="G49" i="454"/>
  <c r="G12" i="446"/>
  <c r="H10" i="446"/>
  <c r="G9" i="446"/>
  <c r="G49" i="446"/>
  <c r="G9" i="445"/>
  <c r="G12" i="445"/>
  <c r="H10" i="445"/>
  <c r="G49" i="445"/>
  <c r="G9" i="448"/>
  <c r="G12" i="448"/>
  <c r="H10" i="448"/>
  <c r="G49" i="448"/>
  <c r="G12" i="449"/>
  <c r="H10" i="449"/>
  <c r="G9" i="449"/>
  <c r="G49" i="449"/>
  <c r="D24" i="1"/>
  <c r="D23" i="1"/>
  <c r="D22" i="1"/>
  <c r="D21" i="1"/>
  <c r="D20" i="1"/>
  <c r="D19" i="1"/>
  <c r="D18" i="1"/>
  <c r="D17" i="1"/>
  <c r="D16" i="1"/>
  <c r="D15" i="1"/>
  <c r="D14" i="1"/>
  <c r="D13" i="1"/>
  <c r="I12" i="447" l="1"/>
  <c r="I9" i="447"/>
  <c r="J10" i="447"/>
  <c r="I49" i="447"/>
  <c r="H12" i="445"/>
  <c r="I10" i="445"/>
  <c r="H9" i="445"/>
  <c r="H49" i="445"/>
  <c r="H9" i="448"/>
  <c r="H12" i="448"/>
  <c r="I10" i="448"/>
  <c r="H49" i="448"/>
  <c r="H9" i="446"/>
  <c r="H12" i="446"/>
  <c r="I10" i="446"/>
  <c r="H49" i="446"/>
  <c r="H9" i="453"/>
  <c r="H12" i="453"/>
  <c r="I10" i="453"/>
  <c r="H49" i="453"/>
  <c r="H9" i="450"/>
  <c r="H12" i="450"/>
  <c r="I10" i="450"/>
  <c r="H49" i="450"/>
  <c r="H9" i="444"/>
  <c r="H12" i="444"/>
  <c r="I10" i="444"/>
  <c r="H49" i="444"/>
  <c r="I10" i="449"/>
  <c r="H12" i="449"/>
  <c r="H9" i="449"/>
  <c r="H49" i="449"/>
  <c r="I10" i="454"/>
  <c r="H12" i="454"/>
  <c r="H9" i="454"/>
  <c r="H49" i="454"/>
  <c r="H9" i="455"/>
  <c r="H12" i="455"/>
  <c r="I10" i="455"/>
  <c r="H49" i="455"/>
  <c r="H12" i="451"/>
  <c r="I10" i="451"/>
  <c r="H9" i="451"/>
  <c r="H49" i="451"/>
  <c r="I10" i="452"/>
  <c r="H12" i="452"/>
  <c r="H9" i="452"/>
  <c r="H49" i="452"/>
  <c r="I12" i="452" l="1"/>
  <c r="I9" i="452"/>
  <c r="J10" i="452"/>
  <c r="I49" i="452"/>
  <c r="I12" i="454"/>
  <c r="I9" i="454"/>
  <c r="J10" i="454"/>
  <c r="I49" i="454"/>
  <c r="I12" i="444"/>
  <c r="J10" i="444"/>
  <c r="I9" i="444"/>
  <c r="I49" i="444"/>
  <c r="I9" i="448"/>
  <c r="I12" i="448"/>
  <c r="J10" i="448"/>
  <c r="I49" i="448"/>
  <c r="I12" i="450"/>
  <c r="J10" i="450"/>
  <c r="I9" i="450"/>
  <c r="I49" i="450"/>
  <c r="I12" i="451"/>
  <c r="J10" i="451"/>
  <c r="I9" i="451"/>
  <c r="I49" i="451"/>
  <c r="I12" i="445"/>
  <c r="J10" i="445"/>
  <c r="I9" i="445"/>
  <c r="I49" i="445"/>
  <c r="I12" i="455"/>
  <c r="J10" i="455"/>
  <c r="I9" i="455"/>
  <c r="I49" i="455"/>
  <c r="I12" i="449"/>
  <c r="I9" i="449"/>
  <c r="J10" i="449"/>
  <c r="I49" i="449"/>
  <c r="I12" i="453"/>
  <c r="J10" i="453"/>
  <c r="I9" i="453"/>
  <c r="I49" i="453"/>
  <c r="I49" i="446"/>
  <c r="I9" i="446"/>
  <c r="I12" i="446"/>
  <c r="J10" i="446"/>
  <c r="J12" i="447"/>
  <c r="J9" i="447"/>
  <c r="K10" i="447"/>
  <c r="J49" i="447"/>
  <c r="J18" i="31"/>
  <c r="J9" i="446" l="1"/>
  <c r="J12" i="446"/>
  <c r="K10" i="446"/>
  <c r="J49" i="446"/>
  <c r="J12" i="444"/>
  <c r="J9" i="444"/>
  <c r="K10" i="444"/>
  <c r="J49" i="444"/>
  <c r="J12" i="454"/>
  <c r="J9" i="454"/>
  <c r="K10" i="454"/>
  <c r="J49" i="454"/>
  <c r="K12" i="447"/>
  <c r="L10" i="447"/>
  <c r="K9" i="447"/>
  <c r="K49" i="447"/>
  <c r="J9" i="453"/>
  <c r="J12" i="453"/>
  <c r="K10" i="453"/>
  <c r="J49" i="453"/>
  <c r="J12" i="450"/>
  <c r="K10" i="450"/>
  <c r="J9" i="450"/>
  <c r="J49" i="450"/>
  <c r="J12" i="445"/>
  <c r="K10" i="445"/>
  <c r="J9" i="445"/>
  <c r="J49" i="445"/>
  <c r="J12" i="448"/>
  <c r="K10" i="448"/>
  <c r="J9" i="448"/>
  <c r="J49" i="448"/>
  <c r="J12" i="452"/>
  <c r="J9" i="452"/>
  <c r="K10" i="452"/>
  <c r="J49" i="452"/>
  <c r="J12" i="449"/>
  <c r="J9" i="449"/>
  <c r="K10" i="449"/>
  <c r="J49" i="449"/>
  <c r="J12" i="455"/>
  <c r="J9" i="455"/>
  <c r="K10" i="455"/>
  <c r="J49" i="455"/>
  <c r="J9" i="451"/>
  <c r="J12" i="451"/>
  <c r="K10" i="451"/>
  <c r="J49" i="451"/>
  <c r="AH4" i="15"/>
  <c r="AH3" i="15"/>
  <c r="AH2" i="15"/>
  <c r="AC3" i="15"/>
  <c r="AC2" i="15"/>
  <c r="K12" i="453" l="1"/>
  <c r="L10" i="453"/>
  <c r="K9" i="453"/>
  <c r="K49" i="453"/>
  <c r="K12" i="449"/>
  <c r="L10" i="449"/>
  <c r="K9" i="449"/>
  <c r="K49" i="449"/>
  <c r="K9" i="448"/>
  <c r="K12" i="448"/>
  <c r="L10" i="448"/>
  <c r="K49" i="448"/>
  <c r="K9" i="445"/>
  <c r="K12" i="445"/>
  <c r="L10" i="445"/>
  <c r="K49" i="445"/>
  <c r="M10" i="447"/>
  <c r="L12" i="447"/>
  <c r="L9" i="447"/>
  <c r="L49" i="447"/>
  <c r="K12" i="444"/>
  <c r="L10" i="444"/>
  <c r="K9" i="444"/>
  <c r="K49" i="444"/>
  <c r="K9" i="451"/>
  <c r="K12" i="451"/>
  <c r="L10" i="451"/>
  <c r="K49" i="451"/>
  <c r="K9" i="455"/>
  <c r="K12" i="455"/>
  <c r="L10" i="455"/>
  <c r="K49" i="455"/>
  <c r="L10" i="452"/>
  <c r="K12" i="452"/>
  <c r="K9" i="452"/>
  <c r="K49" i="452"/>
  <c r="K9" i="450"/>
  <c r="K12" i="450"/>
  <c r="L10" i="450"/>
  <c r="K49" i="450"/>
  <c r="K12" i="454"/>
  <c r="L10" i="454"/>
  <c r="K9" i="454"/>
  <c r="K49" i="454"/>
  <c r="K12" i="446"/>
  <c r="L10" i="446"/>
  <c r="K9" i="446"/>
  <c r="K49" i="446"/>
  <c r="AD2" i="31"/>
  <c r="AB5" i="31"/>
  <c r="S2" i="31"/>
  <c r="AM1" i="15"/>
  <c r="AN1" i="15"/>
  <c r="A7" i="1"/>
  <c r="K2" i="31"/>
  <c r="K11" i="448" s="1"/>
  <c r="K54" i="448" s="1"/>
  <c r="L2" i="28"/>
  <c r="O31" i="1"/>
  <c r="AH1" i="28"/>
  <c r="AG1" i="28"/>
  <c r="U1" i="27"/>
  <c r="T1" i="27"/>
  <c r="F11" i="1"/>
  <c r="Y3" i="31"/>
  <c r="P4" i="31"/>
  <c r="O4" i="31"/>
  <c r="E31" i="1"/>
  <c r="X13" i="15"/>
  <c r="AB4" i="31"/>
  <c r="AB3" i="31"/>
  <c r="Q2" i="31"/>
  <c r="AE4" i="31"/>
  <c r="AG3" i="31" s="1"/>
  <c r="AE3" i="31"/>
  <c r="AG6" i="31" s="1"/>
  <c r="C1" i="28"/>
  <c r="H13" i="1"/>
  <c r="H29" i="1"/>
  <c r="E1" i="28"/>
  <c r="E1" i="27"/>
  <c r="B1" i="27"/>
  <c r="C1" i="15"/>
  <c r="F4" i="1"/>
  <c r="E10" i="1" s="1"/>
  <c r="E25" i="1" s="1"/>
  <c r="W2" i="31"/>
  <c r="J10" i="31"/>
  <c r="J5" i="31"/>
  <c r="C5" i="15"/>
  <c r="E5" i="28"/>
  <c r="E5" i="27"/>
  <c r="E2" i="27"/>
  <c r="E2" i="28"/>
  <c r="H2" i="31"/>
  <c r="AG9" i="28"/>
  <c r="B7" i="28"/>
  <c r="B6" i="28"/>
  <c r="B5" i="28"/>
  <c r="B7" i="27"/>
  <c r="B6" i="27"/>
  <c r="B5" i="27"/>
  <c r="A7" i="15"/>
  <c r="A6" i="15"/>
  <c r="A5" i="15"/>
  <c r="E9" i="28"/>
  <c r="G9" i="28"/>
  <c r="I9" i="28"/>
  <c r="K9" i="28"/>
  <c r="M9" i="28"/>
  <c r="O9" i="28"/>
  <c r="Q9" i="28"/>
  <c r="S9" i="28"/>
  <c r="U9" i="28"/>
  <c r="W9" i="28"/>
  <c r="Y9" i="28"/>
  <c r="AA9" i="28"/>
  <c r="AC9" i="28"/>
  <c r="AE9" i="28"/>
  <c r="C2" i="15"/>
  <c r="U2" i="31"/>
  <c r="E7" i="28"/>
  <c r="E6" i="28"/>
  <c r="E4" i="28"/>
  <c r="E3" i="28"/>
  <c r="E7" i="27"/>
  <c r="E6" i="27"/>
  <c r="E4" i="27"/>
  <c r="E3" i="27"/>
  <c r="C7" i="15"/>
  <c r="C6" i="15"/>
  <c r="C4" i="15"/>
  <c r="C3" i="15"/>
  <c r="M2" i="31"/>
  <c r="F2" i="31"/>
  <c r="D2" i="31"/>
  <c r="B2" i="31"/>
  <c r="A14" i="28"/>
  <c r="O33" i="1"/>
  <c r="AC13" i="15" s="1"/>
  <c r="A13" i="28"/>
  <c r="A12" i="28"/>
  <c r="A11" i="28"/>
  <c r="B4" i="28"/>
  <c r="B3" i="28"/>
  <c r="B2" i="28"/>
  <c r="B2" i="27"/>
  <c r="B3" i="27"/>
  <c r="B4" i="27"/>
  <c r="I1" i="15"/>
  <c r="A2" i="15"/>
  <c r="A3" i="15"/>
  <c r="A4" i="15"/>
  <c r="AM12" i="15"/>
  <c r="F13" i="1"/>
  <c r="F14" i="1"/>
  <c r="F15" i="1"/>
  <c r="F16" i="1"/>
  <c r="F17" i="1"/>
  <c r="F18" i="1"/>
  <c r="F19" i="1"/>
  <c r="F20" i="1"/>
  <c r="F21" i="1"/>
  <c r="F22" i="1"/>
  <c r="F23" i="1"/>
  <c r="F24" i="1"/>
  <c r="E29" i="1"/>
  <c r="O13" i="15" s="1"/>
  <c r="O29" i="1"/>
  <c r="E30" i="1"/>
  <c r="M13" i="15" s="1"/>
  <c r="O30" i="1"/>
  <c r="E32" i="1"/>
  <c r="O32" i="1"/>
  <c r="AM13" i="15" s="1"/>
  <c r="A18" i="28"/>
  <c r="A12" i="27"/>
  <c r="A16" i="15"/>
  <c r="A23" i="28"/>
  <c r="A17" i="27"/>
  <c r="A21" i="15"/>
  <c r="A27" i="28"/>
  <c r="A21" i="27"/>
  <c r="A25" i="15"/>
  <c r="A19" i="28"/>
  <c r="A13" i="27"/>
  <c r="A17" i="15"/>
  <c r="A20" i="28"/>
  <c r="A14" i="27"/>
  <c r="A18" i="15"/>
  <c r="A24" i="28"/>
  <c r="A18" i="27"/>
  <c r="A22" i="15"/>
  <c r="A28" i="28"/>
  <c r="A22" i="27"/>
  <c r="A26" i="15"/>
  <c r="A21" i="28"/>
  <c r="A15" i="27"/>
  <c r="A19" i="15"/>
  <c r="A25" i="28"/>
  <c r="A19" i="27"/>
  <c r="A23" i="15"/>
  <c r="A17" i="28"/>
  <c r="A11" i="27"/>
  <c r="A15" i="15"/>
  <c r="A22" i="28"/>
  <c r="A16" i="27"/>
  <c r="A20" i="15"/>
  <c r="A26" i="28"/>
  <c r="A20" i="27"/>
  <c r="A24" i="15"/>
  <c r="L11" i="452" l="1"/>
  <c r="L54" i="452" s="1"/>
  <c r="M10" i="452"/>
  <c r="L12" i="452"/>
  <c r="L9" i="452"/>
  <c r="L49" i="452"/>
  <c r="L11" i="455"/>
  <c r="L54" i="455" s="1"/>
  <c r="L9" i="455"/>
  <c r="L12" i="455"/>
  <c r="M10" i="455"/>
  <c r="L49" i="455"/>
  <c r="J13" i="1"/>
  <c r="V2" i="444"/>
  <c r="B11" i="455"/>
  <c r="B11" i="454"/>
  <c r="B11" i="453"/>
  <c r="B11" i="452"/>
  <c r="B11" i="451"/>
  <c r="B11" i="450"/>
  <c r="B11" i="449"/>
  <c r="B11" i="448"/>
  <c r="B11" i="447"/>
  <c r="B11" i="446"/>
  <c r="B11" i="444"/>
  <c r="B11" i="445"/>
  <c r="C11" i="446"/>
  <c r="C11" i="445"/>
  <c r="C11" i="449"/>
  <c r="C11" i="451"/>
  <c r="C11" i="453"/>
  <c r="C11" i="454"/>
  <c r="C11" i="455"/>
  <c r="C11" i="444"/>
  <c r="D11" i="447"/>
  <c r="C11" i="450"/>
  <c r="C11" i="447"/>
  <c r="C11" i="448"/>
  <c r="C11" i="452"/>
  <c r="D11" i="453"/>
  <c r="D11" i="445"/>
  <c r="D11" i="454"/>
  <c r="D11" i="451"/>
  <c r="D11" i="452"/>
  <c r="D11" i="448"/>
  <c r="E11" i="447"/>
  <c r="D11" i="455"/>
  <c r="D11" i="449"/>
  <c r="D11" i="446"/>
  <c r="D11" i="444"/>
  <c r="D11" i="450"/>
  <c r="E11" i="455"/>
  <c r="E11" i="446"/>
  <c r="E11" i="452"/>
  <c r="F11" i="447"/>
  <c r="E11" i="444"/>
  <c r="E11" i="448"/>
  <c r="E11" i="449"/>
  <c r="E11" i="451"/>
  <c r="E11" i="453"/>
  <c r="E11" i="454"/>
  <c r="E11" i="445"/>
  <c r="E11" i="450"/>
  <c r="F11" i="450"/>
  <c r="F11" i="455"/>
  <c r="F11" i="454"/>
  <c r="F11" i="444"/>
  <c r="F11" i="446"/>
  <c r="G11" i="447"/>
  <c r="F11" i="452"/>
  <c r="F11" i="451"/>
  <c r="F11" i="449"/>
  <c r="F11" i="448"/>
  <c r="F11" i="453"/>
  <c r="F11" i="445"/>
  <c r="G11" i="444"/>
  <c r="G11" i="451"/>
  <c r="G11" i="455"/>
  <c r="H11" i="447"/>
  <c r="G11" i="450"/>
  <c r="G11" i="453"/>
  <c r="G11" i="446"/>
  <c r="G11" i="448"/>
  <c r="G11" i="452"/>
  <c r="G11" i="454"/>
  <c r="G11" i="445"/>
  <c r="G11" i="449"/>
  <c r="I11" i="447"/>
  <c r="H11" i="445"/>
  <c r="H11" i="448"/>
  <c r="H11" i="444"/>
  <c r="H11" i="446"/>
  <c r="H11" i="453"/>
  <c r="H11" i="455"/>
  <c r="H11" i="452"/>
  <c r="H11" i="454"/>
  <c r="H11" i="450"/>
  <c r="H11" i="449"/>
  <c r="H11" i="451"/>
  <c r="I11" i="452"/>
  <c r="I11" i="454"/>
  <c r="I11" i="445"/>
  <c r="I11" i="453"/>
  <c r="I11" i="446"/>
  <c r="I11" i="444"/>
  <c r="J11" i="447"/>
  <c r="I11" i="455"/>
  <c r="I11" i="448"/>
  <c r="I11" i="451"/>
  <c r="I11" i="450"/>
  <c r="I11" i="449"/>
  <c r="J11" i="454"/>
  <c r="J11" i="453"/>
  <c r="J11" i="452"/>
  <c r="J11" i="446"/>
  <c r="K11" i="447"/>
  <c r="J11" i="445"/>
  <c r="J73" i="445" s="1"/>
  <c r="J11" i="448"/>
  <c r="J73" i="448" s="1"/>
  <c r="J11" i="449"/>
  <c r="J11" i="451"/>
  <c r="J11" i="444"/>
  <c r="J11" i="450"/>
  <c r="J11" i="455"/>
  <c r="J73" i="451"/>
  <c r="L11" i="454"/>
  <c r="L54" i="454" s="1"/>
  <c r="M10" i="454"/>
  <c r="L12" i="454"/>
  <c r="L9" i="454"/>
  <c r="L49" i="454"/>
  <c r="K11" i="452"/>
  <c r="K54" i="452" s="1"/>
  <c r="M11" i="447"/>
  <c r="M54" i="447" s="1"/>
  <c r="M12" i="447"/>
  <c r="M9" i="447"/>
  <c r="N10" i="447"/>
  <c r="M49" i="447"/>
  <c r="K11" i="445"/>
  <c r="K54" i="445" s="1"/>
  <c r="L11" i="448"/>
  <c r="L54" i="448" s="1"/>
  <c r="L9" i="448"/>
  <c r="L12" i="448"/>
  <c r="M10" i="448"/>
  <c r="L49" i="448"/>
  <c r="L11" i="449"/>
  <c r="L54" i="449" s="1"/>
  <c r="M10" i="449"/>
  <c r="L12" i="449"/>
  <c r="L9" i="449"/>
  <c r="L49" i="449"/>
  <c r="I9" i="27"/>
  <c r="A111" i="455"/>
  <c r="AG111" i="455" s="1"/>
  <c r="A107" i="455"/>
  <c r="AG107" i="455" s="1"/>
  <c r="A103" i="455"/>
  <c r="AG103" i="455" s="1"/>
  <c r="A99" i="455"/>
  <c r="AG99" i="455" s="1"/>
  <c r="A110" i="455"/>
  <c r="AG110" i="455" s="1"/>
  <c r="A106" i="455"/>
  <c r="AG106" i="455" s="1"/>
  <c r="A102" i="455"/>
  <c r="AG102" i="455" s="1"/>
  <c r="A98" i="455"/>
  <c r="AG98" i="455" s="1"/>
  <c r="A109" i="455"/>
  <c r="AG109" i="455" s="1"/>
  <c r="A105" i="455"/>
  <c r="AG105" i="455" s="1"/>
  <c r="A101" i="455"/>
  <c r="AG101" i="455" s="1"/>
  <c r="A97" i="455"/>
  <c r="AG97" i="455" s="1"/>
  <c r="A108" i="455"/>
  <c r="AG108" i="455" s="1"/>
  <c r="A104" i="455"/>
  <c r="AG104" i="455" s="1"/>
  <c r="A100" i="455"/>
  <c r="AG100" i="455" s="1"/>
  <c r="A109" i="454"/>
  <c r="AF109" i="454" s="1"/>
  <c r="A105" i="454"/>
  <c r="AF105" i="454" s="1"/>
  <c r="A101" i="454"/>
  <c r="AF101" i="454" s="1"/>
  <c r="A97" i="454"/>
  <c r="AF97" i="454" s="1"/>
  <c r="A108" i="454"/>
  <c r="AF108" i="454" s="1"/>
  <c r="A104" i="454"/>
  <c r="AF104" i="454" s="1"/>
  <c r="A111" i="454"/>
  <c r="AF111" i="454" s="1"/>
  <c r="A107" i="454"/>
  <c r="AF107" i="454" s="1"/>
  <c r="A103" i="454"/>
  <c r="AF103" i="454" s="1"/>
  <c r="A99" i="454"/>
  <c r="AF99" i="454" s="1"/>
  <c r="A98" i="454"/>
  <c r="AF98" i="454" s="1"/>
  <c r="A110" i="454"/>
  <c r="AF110" i="454" s="1"/>
  <c r="A106" i="454"/>
  <c r="AF106" i="454" s="1"/>
  <c r="A102" i="454"/>
  <c r="AF102" i="454" s="1"/>
  <c r="A100" i="454"/>
  <c r="AF100" i="454" s="1"/>
  <c r="A108" i="453"/>
  <c r="AG108" i="453" s="1"/>
  <c r="A104" i="453"/>
  <c r="AG104" i="453" s="1"/>
  <c r="A100" i="453"/>
  <c r="AG100" i="453" s="1"/>
  <c r="A111" i="453"/>
  <c r="AG111" i="453" s="1"/>
  <c r="A107" i="453"/>
  <c r="AG107" i="453" s="1"/>
  <c r="A103" i="453"/>
  <c r="AG103" i="453" s="1"/>
  <c r="A99" i="453"/>
  <c r="AG99" i="453" s="1"/>
  <c r="A110" i="453"/>
  <c r="AG110" i="453" s="1"/>
  <c r="A109" i="453"/>
  <c r="AG109" i="453" s="1"/>
  <c r="A106" i="453"/>
  <c r="AG106" i="453" s="1"/>
  <c r="A105" i="453"/>
  <c r="AG105" i="453" s="1"/>
  <c r="A102" i="453"/>
  <c r="AG102" i="453" s="1"/>
  <c r="A101" i="453"/>
  <c r="AG101" i="453" s="1"/>
  <c r="A98" i="453"/>
  <c r="AG98" i="453" s="1"/>
  <c r="A97" i="453"/>
  <c r="AG97" i="453" s="1"/>
  <c r="A111" i="452"/>
  <c r="AF111" i="452" s="1"/>
  <c r="A107" i="452"/>
  <c r="AF107" i="452" s="1"/>
  <c r="A103" i="452"/>
  <c r="AF103" i="452" s="1"/>
  <c r="A99" i="452"/>
  <c r="AF99" i="452" s="1"/>
  <c r="A109" i="452"/>
  <c r="AF109" i="452" s="1"/>
  <c r="A105" i="452"/>
  <c r="AF105" i="452" s="1"/>
  <c r="A101" i="452"/>
  <c r="AF101" i="452" s="1"/>
  <c r="A97" i="452"/>
  <c r="AF97" i="452" s="1"/>
  <c r="A108" i="452"/>
  <c r="AF108" i="452" s="1"/>
  <c r="A104" i="452"/>
  <c r="AF104" i="452" s="1"/>
  <c r="A100" i="452"/>
  <c r="AF100" i="452" s="1"/>
  <c r="A109" i="451"/>
  <c r="AG109" i="451" s="1"/>
  <c r="A105" i="451"/>
  <c r="AG105" i="451" s="1"/>
  <c r="A101" i="451"/>
  <c r="AG101" i="451" s="1"/>
  <c r="A97" i="451"/>
  <c r="AG97" i="451" s="1"/>
  <c r="A108" i="451"/>
  <c r="AG108" i="451" s="1"/>
  <c r="A104" i="451"/>
  <c r="AG104" i="451" s="1"/>
  <c r="A100" i="451"/>
  <c r="AG100" i="451" s="1"/>
  <c r="A110" i="452"/>
  <c r="AF110" i="452" s="1"/>
  <c r="A106" i="452"/>
  <c r="AF106" i="452" s="1"/>
  <c r="A102" i="452"/>
  <c r="AF102" i="452" s="1"/>
  <c r="A98" i="452"/>
  <c r="AF98" i="452" s="1"/>
  <c r="A111" i="451"/>
  <c r="AG111" i="451" s="1"/>
  <c r="A107" i="451"/>
  <c r="AG107" i="451" s="1"/>
  <c r="A103" i="451"/>
  <c r="AG103" i="451" s="1"/>
  <c r="A99" i="451"/>
  <c r="AG99" i="451" s="1"/>
  <c r="A110" i="451"/>
  <c r="AG110" i="451" s="1"/>
  <c r="A106" i="451"/>
  <c r="AG106" i="451" s="1"/>
  <c r="A102" i="451"/>
  <c r="AG102" i="451" s="1"/>
  <c r="A98" i="451"/>
  <c r="AG98" i="451" s="1"/>
  <c r="A110" i="450"/>
  <c r="AG110" i="450" s="1"/>
  <c r="A106" i="450"/>
  <c r="AG106" i="450" s="1"/>
  <c r="A102" i="450"/>
  <c r="AG102" i="450" s="1"/>
  <c r="A98" i="450"/>
  <c r="AG98" i="450" s="1"/>
  <c r="A109" i="450"/>
  <c r="AG109" i="450" s="1"/>
  <c r="A105" i="450"/>
  <c r="AG105" i="450" s="1"/>
  <c r="A101" i="450"/>
  <c r="AG101" i="450" s="1"/>
  <c r="A97" i="450"/>
  <c r="AG97" i="450" s="1"/>
  <c r="A111" i="450"/>
  <c r="AG111" i="450" s="1"/>
  <c r="A107" i="450"/>
  <c r="AG107" i="450" s="1"/>
  <c r="A103" i="450"/>
  <c r="AG103" i="450" s="1"/>
  <c r="A99" i="450"/>
  <c r="AG99" i="450" s="1"/>
  <c r="A108" i="450"/>
  <c r="AG108" i="450" s="1"/>
  <c r="A104" i="450"/>
  <c r="AG104" i="450" s="1"/>
  <c r="A100" i="450"/>
  <c r="AG100" i="450" s="1"/>
  <c r="A108" i="449"/>
  <c r="AF108" i="449" s="1"/>
  <c r="A104" i="449"/>
  <c r="AF104" i="449" s="1"/>
  <c r="A100" i="449"/>
  <c r="AF100" i="449" s="1"/>
  <c r="A111" i="449"/>
  <c r="AF111" i="449" s="1"/>
  <c r="A107" i="449"/>
  <c r="AF107" i="449" s="1"/>
  <c r="A103" i="449"/>
  <c r="AF103" i="449" s="1"/>
  <c r="A99" i="449"/>
  <c r="AF99" i="449" s="1"/>
  <c r="A109" i="448"/>
  <c r="AG109" i="448" s="1"/>
  <c r="A105" i="448"/>
  <c r="AG105" i="448" s="1"/>
  <c r="A101" i="448"/>
  <c r="AG101" i="448" s="1"/>
  <c r="A97" i="448"/>
  <c r="AG97" i="448" s="1"/>
  <c r="A110" i="449"/>
  <c r="AF110" i="449" s="1"/>
  <c r="A109" i="449"/>
  <c r="AF109" i="449" s="1"/>
  <c r="A106" i="449"/>
  <c r="AF106" i="449" s="1"/>
  <c r="A105" i="449"/>
  <c r="AF105" i="449" s="1"/>
  <c r="A102" i="449"/>
  <c r="AF102" i="449" s="1"/>
  <c r="A101" i="449"/>
  <c r="AF101" i="449" s="1"/>
  <c r="A98" i="449"/>
  <c r="AF98" i="449" s="1"/>
  <c r="A97" i="449"/>
  <c r="AF97" i="449" s="1"/>
  <c r="A108" i="448"/>
  <c r="AG108" i="448" s="1"/>
  <c r="A104" i="448"/>
  <c r="AG104" i="448" s="1"/>
  <c r="A100" i="448"/>
  <c r="AG100" i="448" s="1"/>
  <c r="A110" i="447"/>
  <c r="AF110" i="447" s="1"/>
  <c r="A106" i="447"/>
  <c r="AF106" i="447" s="1"/>
  <c r="A102" i="447"/>
  <c r="AF102" i="447" s="1"/>
  <c r="A98" i="447"/>
  <c r="AF98" i="447" s="1"/>
  <c r="A111" i="448"/>
  <c r="AG111" i="448" s="1"/>
  <c r="A110" i="448"/>
  <c r="AG110" i="448" s="1"/>
  <c r="A107" i="448"/>
  <c r="AG107" i="448" s="1"/>
  <c r="A106" i="448"/>
  <c r="AG106" i="448" s="1"/>
  <c r="A103" i="448"/>
  <c r="AG103" i="448" s="1"/>
  <c r="A102" i="448"/>
  <c r="AG102" i="448" s="1"/>
  <c r="A99" i="448"/>
  <c r="AG99" i="448" s="1"/>
  <c r="A98" i="448"/>
  <c r="AG98" i="448" s="1"/>
  <c r="A109" i="447"/>
  <c r="AF109" i="447" s="1"/>
  <c r="A105" i="447"/>
  <c r="AF105" i="447" s="1"/>
  <c r="A101" i="447"/>
  <c r="AF101" i="447" s="1"/>
  <c r="A97" i="447"/>
  <c r="AF97" i="447" s="1"/>
  <c r="A109" i="446"/>
  <c r="AG109" i="446" s="1"/>
  <c r="A105" i="446"/>
  <c r="AG105" i="446" s="1"/>
  <c r="A101" i="446"/>
  <c r="AG101" i="446" s="1"/>
  <c r="A97" i="446"/>
  <c r="AG97" i="446" s="1"/>
  <c r="A108" i="447"/>
  <c r="AF108" i="447" s="1"/>
  <c r="A104" i="447"/>
  <c r="AF104" i="447" s="1"/>
  <c r="A100" i="447"/>
  <c r="AF100" i="447" s="1"/>
  <c r="A108" i="446"/>
  <c r="AG108" i="446" s="1"/>
  <c r="A104" i="446"/>
  <c r="AG104" i="446" s="1"/>
  <c r="A100" i="446"/>
  <c r="AG100" i="446" s="1"/>
  <c r="A111" i="447"/>
  <c r="AF111" i="447" s="1"/>
  <c r="A107" i="447"/>
  <c r="AF107" i="447" s="1"/>
  <c r="A103" i="447"/>
  <c r="AF103" i="447" s="1"/>
  <c r="A99" i="447"/>
  <c r="AF99" i="447" s="1"/>
  <c r="A111" i="446"/>
  <c r="AG111" i="446" s="1"/>
  <c r="A107" i="446"/>
  <c r="AG107" i="446" s="1"/>
  <c r="A103" i="446"/>
  <c r="AG103" i="446" s="1"/>
  <c r="A99" i="446"/>
  <c r="AG99" i="446" s="1"/>
  <c r="A109" i="445"/>
  <c r="AE109" i="445" s="1"/>
  <c r="A105" i="445"/>
  <c r="AE105" i="445" s="1"/>
  <c r="A101" i="445"/>
  <c r="AE101" i="445" s="1"/>
  <c r="A97" i="445"/>
  <c r="AE97" i="445" s="1"/>
  <c r="A110" i="444"/>
  <c r="AG110" i="444" s="1"/>
  <c r="A106" i="444"/>
  <c r="AG106" i="444" s="1"/>
  <c r="A102" i="444"/>
  <c r="AG102" i="444" s="1"/>
  <c r="A98" i="444"/>
  <c r="AG98" i="444" s="1"/>
  <c r="A110" i="446"/>
  <c r="AG110" i="446" s="1"/>
  <c r="A106" i="446"/>
  <c r="AG106" i="446" s="1"/>
  <c r="A102" i="446"/>
  <c r="AG102" i="446" s="1"/>
  <c r="A98" i="446"/>
  <c r="AG98" i="446" s="1"/>
  <c r="A108" i="445"/>
  <c r="AE108" i="445" s="1"/>
  <c r="A104" i="445"/>
  <c r="AE104" i="445" s="1"/>
  <c r="A100" i="445"/>
  <c r="AE100" i="445" s="1"/>
  <c r="A109" i="444"/>
  <c r="AG109" i="444" s="1"/>
  <c r="A105" i="444"/>
  <c r="AG105" i="444" s="1"/>
  <c r="A101" i="444"/>
  <c r="AG101" i="444" s="1"/>
  <c r="A97" i="444"/>
  <c r="AG97" i="444" s="1"/>
  <c r="A111" i="445"/>
  <c r="AE111" i="445" s="1"/>
  <c r="A107" i="445"/>
  <c r="AE107" i="445" s="1"/>
  <c r="A103" i="445"/>
  <c r="AE103" i="445" s="1"/>
  <c r="A99" i="445"/>
  <c r="AE99" i="445" s="1"/>
  <c r="A108" i="444"/>
  <c r="AG108" i="444" s="1"/>
  <c r="A104" i="444"/>
  <c r="AG104" i="444" s="1"/>
  <c r="A100" i="444"/>
  <c r="AG100" i="444" s="1"/>
  <c r="A110" i="445"/>
  <c r="AE110" i="445" s="1"/>
  <c r="A106" i="445"/>
  <c r="AE106" i="445" s="1"/>
  <c r="A102" i="445"/>
  <c r="AE102" i="445" s="1"/>
  <c r="A98" i="445"/>
  <c r="AE98" i="445" s="1"/>
  <c r="A111" i="444"/>
  <c r="AG111" i="444" s="1"/>
  <c r="A107" i="444"/>
  <c r="AG107" i="444" s="1"/>
  <c r="A103" i="444"/>
  <c r="AG103" i="444" s="1"/>
  <c r="A99" i="444"/>
  <c r="AG99" i="444" s="1"/>
  <c r="AM76" i="455"/>
  <c r="AM48" i="455"/>
  <c r="AL48" i="454"/>
  <c r="AM48" i="453"/>
  <c r="AL48" i="452"/>
  <c r="AM48" i="451"/>
  <c r="AM48" i="450"/>
  <c r="AL48" i="449"/>
  <c r="AM48" i="448"/>
  <c r="AL48" i="447"/>
  <c r="AM48" i="446"/>
  <c r="AL111" i="444"/>
  <c r="AN111" i="444" s="1"/>
  <c r="AL107" i="444"/>
  <c r="AN107" i="444" s="1"/>
  <c r="AL103" i="444"/>
  <c r="AN103" i="444" s="1"/>
  <c r="AL99" i="444"/>
  <c r="AN99" i="444" s="1"/>
  <c r="AL84" i="444"/>
  <c r="AL80" i="444"/>
  <c r="AL71" i="444"/>
  <c r="AN71" i="444" s="1"/>
  <c r="AL69" i="444"/>
  <c r="AL60" i="444"/>
  <c r="AN60" i="444" s="1"/>
  <c r="AJ60" i="445" s="1"/>
  <c r="AL60" i="445" s="1"/>
  <c r="AL60" i="446" s="1"/>
  <c r="AN60" i="446" s="1"/>
  <c r="AK60" i="447" s="1"/>
  <c r="AM60" i="447" s="1"/>
  <c r="AL60" i="448" s="1"/>
  <c r="AN60" i="448" s="1"/>
  <c r="AK60" i="449" s="1"/>
  <c r="AM60" i="449" s="1"/>
  <c r="AL60" i="450" s="1"/>
  <c r="AN60" i="450" s="1"/>
  <c r="AL60" i="451" s="1"/>
  <c r="AN60" i="451" s="1"/>
  <c r="AK60" i="452" s="1"/>
  <c r="AM60" i="452" s="1"/>
  <c r="AL60" i="453" s="1"/>
  <c r="AN60" i="453" s="1"/>
  <c r="AK60" i="454" s="1"/>
  <c r="AM60" i="454" s="1"/>
  <c r="AL60" i="455" s="1"/>
  <c r="AN60" i="455" s="1"/>
  <c r="AM48" i="444"/>
  <c r="AJ71" i="445"/>
  <c r="AL71" i="445" s="1"/>
  <c r="AL71" i="446" s="1"/>
  <c r="AN71" i="446" s="1"/>
  <c r="AK71" i="447" s="1"/>
  <c r="AM71" i="447" s="1"/>
  <c r="AL71" i="448" s="1"/>
  <c r="AN71" i="448" s="1"/>
  <c r="AK71" i="449" s="1"/>
  <c r="AM71" i="449" s="1"/>
  <c r="AL71" i="450" s="1"/>
  <c r="AN71" i="450" s="1"/>
  <c r="AL71" i="451" s="1"/>
  <c r="AN71" i="451" s="1"/>
  <c r="AK71" i="452" s="1"/>
  <c r="AM71" i="452" s="1"/>
  <c r="AL71" i="453" s="1"/>
  <c r="AN71" i="453" s="1"/>
  <c r="AK71" i="454" s="1"/>
  <c r="AM71" i="454" s="1"/>
  <c r="AL71" i="455" s="1"/>
  <c r="AN71" i="455" s="1"/>
  <c r="AK48" i="445"/>
  <c r="AL112" i="444"/>
  <c r="AN112" i="444" s="1"/>
  <c r="AL110" i="444"/>
  <c r="AN110" i="444" s="1"/>
  <c r="AJ110" i="445" s="1"/>
  <c r="AL110" i="445" s="1"/>
  <c r="AL110" i="446" s="1"/>
  <c r="AN110" i="446" s="1"/>
  <c r="AK110" i="447" s="1"/>
  <c r="AM110" i="447" s="1"/>
  <c r="AL110" i="448" s="1"/>
  <c r="AN110" i="448" s="1"/>
  <c r="AK110" i="449" s="1"/>
  <c r="AM110" i="449" s="1"/>
  <c r="AL110" i="450" s="1"/>
  <c r="AN110" i="450" s="1"/>
  <c r="AL110" i="451" s="1"/>
  <c r="AN110" i="451" s="1"/>
  <c r="AK110" i="452" s="1"/>
  <c r="AM110" i="452" s="1"/>
  <c r="AL110" i="453" s="1"/>
  <c r="AN110" i="453" s="1"/>
  <c r="AK110" i="454" s="1"/>
  <c r="AM110" i="454" s="1"/>
  <c r="AL110" i="455" s="1"/>
  <c r="AN110" i="455" s="1"/>
  <c r="AL106" i="444"/>
  <c r="AN106" i="444" s="1"/>
  <c r="AJ106" i="445" s="1"/>
  <c r="AL106" i="445" s="1"/>
  <c r="AL106" i="446" s="1"/>
  <c r="AN106" i="446" s="1"/>
  <c r="AK106" i="447" s="1"/>
  <c r="AM106" i="447" s="1"/>
  <c r="AL106" i="448" s="1"/>
  <c r="AN106" i="448" s="1"/>
  <c r="AK106" i="449" s="1"/>
  <c r="AM106" i="449" s="1"/>
  <c r="AL106" i="450" s="1"/>
  <c r="AN106" i="450" s="1"/>
  <c r="AL106" i="451" s="1"/>
  <c r="AN106" i="451" s="1"/>
  <c r="AK106" i="452" s="1"/>
  <c r="AM106" i="452" s="1"/>
  <c r="AL106" i="453" s="1"/>
  <c r="AN106" i="453" s="1"/>
  <c r="AK106" i="454" s="1"/>
  <c r="AM106" i="454" s="1"/>
  <c r="AL106" i="455" s="1"/>
  <c r="AN106" i="455" s="1"/>
  <c r="AL102" i="444"/>
  <c r="AN102" i="444" s="1"/>
  <c r="AJ102" i="445" s="1"/>
  <c r="AL102" i="445" s="1"/>
  <c r="AL102" i="446" s="1"/>
  <c r="AN102" i="446" s="1"/>
  <c r="AK102" i="447" s="1"/>
  <c r="AM102" i="447" s="1"/>
  <c r="AL102" i="448" s="1"/>
  <c r="AN102" i="448" s="1"/>
  <c r="AK102" i="449" s="1"/>
  <c r="AM102" i="449" s="1"/>
  <c r="AL102" i="450" s="1"/>
  <c r="AN102" i="450" s="1"/>
  <c r="AL102" i="451" s="1"/>
  <c r="AN102" i="451" s="1"/>
  <c r="AK102" i="452" s="1"/>
  <c r="AM102" i="452" s="1"/>
  <c r="AL102" i="453" s="1"/>
  <c r="AN102" i="453" s="1"/>
  <c r="AK102" i="454" s="1"/>
  <c r="AM102" i="454" s="1"/>
  <c r="AL102" i="455" s="1"/>
  <c r="AN102" i="455" s="1"/>
  <c r="AL98" i="444"/>
  <c r="AN98" i="444" s="1"/>
  <c r="AJ98" i="445" s="1"/>
  <c r="AL98" i="445" s="1"/>
  <c r="AL98" i="446" s="1"/>
  <c r="AN98" i="446" s="1"/>
  <c r="AK98" i="447" s="1"/>
  <c r="AM98" i="447" s="1"/>
  <c r="AL98" i="448" s="1"/>
  <c r="AN98" i="448" s="1"/>
  <c r="AK98" i="449" s="1"/>
  <c r="AM98" i="449" s="1"/>
  <c r="AL98" i="450" s="1"/>
  <c r="AN98" i="450" s="1"/>
  <c r="AL98" i="451" s="1"/>
  <c r="AN98" i="451" s="1"/>
  <c r="AK98" i="452" s="1"/>
  <c r="AM98" i="452" s="1"/>
  <c r="AL98" i="453" s="1"/>
  <c r="AN98" i="453" s="1"/>
  <c r="AK98" i="454" s="1"/>
  <c r="AM98" i="454" s="1"/>
  <c r="AL98" i="455" s="1"/>
  <c r="AN98" i="455" s="1"/>
  <c r="AL82" i="444"/>
  <c r="AL81" i="444"/>
  <c r="AL79" i="444"/>
  <c r="B68" i="444"/>
  <c r="C68" i="444" s="1"/>
  <c r="D68" i="444" s="1"/>
  <c r="E68" i="444" s="1"/>
  <c r="F68" i="444" s="1"/>
  <c r="G68" i="444" s="1"/>
  <c r="H68" i="444" s="1"/>
  <c r="I68" i="444" s="1"/>
  <c r="J68" i="444" s="1"/>
  <c r="K68" i="444" s="1"/>
  <c r="L68" i="444" s="1"/>
  <c r="AL67" i="444"/>
  <c r="B56" i="444"/>
  <c r="C56" i="444" s="1"/>
  <c r="D56" i="444" s="1"/>
  <c r="E56" i="444" s="1"/>
  <c r="F56" i="444" s="1"/>
  <c r="G56" i="444" s="1"/>
  <c r="H56" i="444" s="1"/>
  <c r="I56" i="444" s="1"/>
  <c r="J56" i="444" s="1"/>
  <c r="K56" i="444" s="1"/>
  <c r="L56" i="444" s="1"/>
  <c r="AL55" i="444"/>
  <c r="AJ112" i="445"/>
  <c r="AL112" i="445" s="1"/>
  <c r="AL112" i="446" s="1"/>
  <c r="AN112" i="446" s="1"/>
  <c r="AK112" i="447" s="1"/>
  <c r="AM112" i="447" s="1"/>
  <c r="AL112" i="448" s="1"/>
  <c r="AN112" i="448" s="1"/>
  <c r="AK112" i="449" s="1"/>
  <c r="AM112" i="449" s="1"/>
  <c r="AL112" i="450" s="1"/>
  <c r="AN112" i="450" s="1"/>
  <c r="AL112" i="451" s="1"/>
  <c r="AN112" i="451" s="1"/>
  <c r="AK112" i="452" s="1"/>
  <c r="AM112" i="452" s="1"/>
  <c r="AL112" i="453" s="1"/>
  <c r="AN112" i="453" s="1"/>
  <c r="AK112" i="454" s="1"/>
  <c r="AM112" i="454" s="1"/>
  <c r="AL112" i="455" s="1"/>
  <c r="AN112" i="455" s="1"/>
  <c r="AL114" i="444"/>
  <c r="AN114" i="444" s="1"/>
  <c r="AJ114" i="445" s="1"/>
  <c r="AL114" i="445" s="1"/>
  <c r="AL114" i="446" s="1"/>
  <c r="AN114" i="446" s="1"/>
  <c r="AK114" i="447" s="1"/>
  <c r="AM114" i="447" s="1"/>
  <c r="AL114" i="448" s="1"/>
  <c r="AN114" i="448" s="1"/>
  <c r="AK114" i="449" s="1"/>
  <c r="AM114" i="449" s="1"/>
  <c r="AL114" i="450" s="1"/>
  <c r="AN114" i="450" s="1"/>
  <c r="AL114" i="451" s="1"/>
  <c r="AN114" i="451" s="1"/>
  <c r="AK114" i="452" s="1"/>
  <c r="AM114" i="452" s="1"/>
  <c r="AL114" i="453" s="1"/>
  <c r="AN114" i="453" s="1"/>
  <c r="AK114" i="454" s="1"/>
  <c r="AM114" i="454" s="1"/>
  <c r="AL114" i="455" s="1"/>
  <c r="AN114" i="455" s="1"/>
  <c r="AL109" i="444"/>
  <c r="AN109" i="444" s="1"/>
  <c r="AJ109" i="445" s="1"/>
  <c r="AL109" i="445" s="1"/>
  <c r="AL109" i="446" s="1"/>
  <c r="AN109" i="446" s="1"/>
  <c r="AK109" i="447" s="1"/>
  <c r="AM109" i="447" s="1"/>
  <c r="AL109" i="448" s="1"/>
  <c r="AN109" i="448" s="1"/>
  <c r="AK109" i="449" s="1"/>
  <c r="AM109" i="449" s="1"/>
  <c r="AL109" i="450" s="1"/>
  <c r="AN109" i="450" s="1"/>
  <c r="AL109" i="451" s="1"/>
  <c r="AN109" i="451" s="1"/>
  <c r="AK109" i="452" s="1"/>
  <c r="AM109" i="452" s="1"/>
  <c r="AL109" i="453" s="1"/>
  <c r="AN109" i="453" s="1"/>
  <c r="AK109" i="454" s="1"/>
  <c r="AM109" i="454" s="1"/>
  <c r="AL109" i="455" s="1"/>
  <c r="AN109" i="455" s="1"/>
  <c r="AL105" i="444"/>
  <c r="AN105" i="444" s="1"/>
  <c r="AJ105" i="445" s="1"/>
  <c r="AL105" i="445" s="1"/>
  <c r="AL105" i="446" s="1"/>
  <c r="AN105" i="446" s="1"/>
  <c r="AK105" i="447" s="1"/>
  <c r="AM105" i="447" s="1"/>
  <c r="AL105" i="448" s="1"/>
  <c r="AN105" i="448" s="1"/>
  <c r="AK105" i="449" s="1"/>
  <c r="AM105" i="449" s="1"/>
  <c r="AL105" i="450" s="1"/>
  <c r="AN105" i="450" s="1"/>
  <c r="AL105" i="451" s="1"/>
  <c r="AN105" i="451" s="1"/>
  <c r="AK105" i="452" s="1"/>
  <c r="AM105" i="452" s="1"/>
  <c r="AL105" i="453" s="1"/>
  <c r="AN105" i="453" s="1"/>
  <c r="AK105" i="454" s="1"/>
  <c r="AM105" i="454" s="1"/>
  <c r="AL105" i="455" s="1"/>
  <c r="AN105" i="455" s="1"/>
  <c r="AL101" i="444"/>
  <c r="AN101" i="444" s="1"/>
  <c r="AJ101" i="445" s="1"/>
  <c r="AL101" i="445" s="1"/>
  <c r="AL101" i="446" s="1"/>
  <c r="AN101" i="446" s="1"/>
  <c r="AK101" i="447" s="1"/>
  <c r="AM101" i="447" s="1"/>
  <c r="AL101" i="448" s="1"/>
  <c r="AN101" i="448" s="1"/>
  <c r="AK101" i="449" s="1"/>
  <c r="AM101" i="449" s="1"/>
  <c r="AL101" i="450" s="1"/>
  <c r="AN101" i="450" s="1"/>
  <c r="AL101" i="451" s="1"/>
  <c r="AN101" i="451" s="1"/>
  <c r="AK101" i="452" s="1"/>
  <c r="AM101" i="452" s="1"/>
  <c r="AL101" i="453" s="1"/>
  <c r="AN101" i="453" s="1"/>
  <c r="AK101" i="454" s="1"/>
  <c r="AM101" i="454" s="1"/>
  <c r="AL101" i="455" s="1"/>
  <c r="AN101" i="455" s="1"/>
  <c r="AL97" i="444"/>
  <c r="AN97" i="444" s="1"/>
  <c r="AJ97" i="445" s="1"/>
  <c r="AL97" i="445" s="1"/>
  <c r="AL97" i="446" s="1"/>
  <c r="AN97" i="446" s="1"/>
  <c r="AK97" i="447" s="1"/>
  <c r="AM97" i="447" s="1"/>
  <c r="AL97" i="448" s="1"/>
  <c r="AN97" i="448" s="1"/>
  <c r="AK97" i="449" s="1"/>
  <c r="AM97" i="449" s="1"/>
  <c r="AL97" i="450" s="1"/>
  <c r="AN97" i="450" s="1"/>
  <c r="AL97" i="451" s="1"/>
  <c r="AN97" i="451" s="1"/>
  <c r="AK97" i="452" s="1"/>
  <c r="AM97" i="452" s="1"/>
  <c r="AL97" i="453" s="1"/>
  <c r="AN97" i="453" s="1"/>
  <c r="AK97" i="454" s="1"/>
  <c r="AM97" i="454" s="1"/>
  <c r="AL97" i="455" s="1"/>
  <c r="AN97" i="455" s="1"/>
  <c r="AL73" i="444"/>
  <c r="V7" i="444"/>
  <c r="F52" i="444" s="1"/>
  <c r="AJ111" i="445"/>
  <c r="AL111" i="445" s="1"/>
  <c r="AL111" i="446" s="1"/>
  <c r="AN111" i="446" s="1"/>
  <c r="AK111" i="447" s="1"/>
  <c r="AM111" i="447" s="1"/>
  <c r="AL111" i="448" s="1"/>
  <c r="AN111" i="448" s="1"/>
  <c r="AK111" i="449" s="1"/>
  <c r="AM111" i="449" s="1"/>
  <c r="AL111" i="450" s="1"/>
  <c r="AN111" i="450" s="1"/>
  <c r="AL111" i="451" s="1"/>
  <c r="AN111" i="451" s="1"/>
  <c r="AK111" i="452" s="1"/>
  <c r="AM111" i="452" s="1"/>
  <c r="AL111" i="453" s="1"/>
  <c r="AN111" i="453" s="1"/>
  <c r="AK111" i="454" s="1"/>
  <c r="AM111" i="454" s="1"/>
  <c r="AL111" i="455" s="1"/>
  <c r="AN111" i="455" s="1"/>
  <c r="AJ107" i="445"/>
  <c r="AL107" i="445" s="1"/>
  <c r="AL107" i="446" s="1"/>
  <c r="AN107" i="446" s="1"/>
  <c r="AK107" i="447" s="1"/>
  <c r="AM107" i="447" s="1"/>
  <c r="AL107" i="448" s="1"/>
  <c r="AN107" i="448" s="1"/>
  <c r="AK107" i="449" s="1"/>
  <c r="AM107" i="449" s="1"/>
  <c r="AL107" i="450" s="1"/>
  <c r="AN107" i="450" s="1"/>
  <c r="AL107" i="451" s="1"/>
  <c r="AN107" i="451" s="1"/>
  <c r="AK107" i="452" s="1"/>
  <c r="AM107" i="452" s="1"/>
  <c r="AL107" i="453" s="1"/>
  <c r="AN107" i="453" s="1"/>
  <c r="AK107" i="454" s="1"/>
  <c r="AM107" i="454" s="1"/>
  <c r="AL107" i="455" s="1"/>
  <c r="AN107" i="455" s="1"/>
  <c r="AJ103" i="445"/>
  <c r="AL103" i="445" s="1"/>
  <c r="AL103" i="446" s="1"/>
  <c r="AN103" i="446" s="1"/>
  <c r="AK103" i="447" s="1"/>
  <c r="AM103" i="447" s="1"/>
  <c r="AL103" i="448" s="1"/>
  <c r="AN103" i="448" s="1"/>
  <c r="AK103" i="449" s="1"/>
  <c r="AM103" i="449" s="1"/>
  <c r="AL103" i="450" s="1"/>
  <c r="AN103" i="450" s="1"/>
  <c r="AL103" i="451" s="1"/>
  <c r="AN103" i="451" s="1"/>
  <c r="AK103" i="452" s="1"/>
  <c r="AM103" i="452" s="1"/>
  <c r="AL103" i="453" s="1"/>
  <c r="AN103" i="453" s="1"/>
  <c r="AK103" i="454" s="1"/>
  <c r="AM103" i="454" s="1"/>
  <c r="AL103" i="455" s="1"/>
  <c r="AN103" i="455" s="1"/>
  <c r="AJ99" i="445"/>
  <c r="AL99" i="445" s="1"/>
  <c r="AL99" i="446" s="1"/>
  <c r="AN99" i="446" s="1"/>
  <c r="AK99" i="447" s="1"/>
  <c r="AM99" i="447" s="1"/>
  <c r="AL99" i="448" s="1"/>
  <c r="AN99" i="448" s="1"/>
  <c r="AK99" i="449" s="1"/>
  <c r="AM99" i="449" s="1"/>
  <c r="AL99" i="450" s="1"/>
  <c r="AN99" i="450" s="1"/>
  <c r="AL99" i="451" s="1"/>
  <c r="AN99" i="451" s="1"/>
  <c r="AK99" i="452" s="1"/>
  <c r="AM99" i="452" s="1"/>
  <c r="AL99" i="453" s="1"/>
  <c r="AN99" i="453" s="1"/>
  <c r="AK99" i="454" s="1"/>
  <c r="AM99" i="454" s="1"/>
  <c r="AL99" i="455" s="1"/>
  <c r="AN99" i="455" s="1"/>
  <c r="V7" i="445"/>
  <c r="V7" i="446" s="1"/>
  <c r="V7" i="447" s="1"/>
  <c r="AL108" i="444"/>
  <c r="AN108" i="444" s="1"/>
  <c r="AJ108" i="445" s="1"/>
  <c r="AL108" i="445" s="1"/>
  <c r="AL108" i="446" s="1"/>
  <c r="AN108" i="446" s="1"/>
  <c r="AK108" i="447" s="1"/>
  <c r="AM108" i="447" s="1"/>
  <c r="AL108" i="448" s="1"/>
  <c r="AN108" i="448" s="1"/>
  <c r="AK108" i="449" s="1"/>
  <c r="AM108" i="449" s="1"/>
  <c r="AL108" i="450" s="1"/>
  <c r="AN108" i="450" s="1"/>
  <c r="AL108" i="451" s="1"/>
  <c r="AN108" i="451" s="1"/>
  <c r="AK108" i="452" s="1"/>
  <c r="AM108" i="452" s="1"/>
  <c r="AL108" i="453" s="1"/>
  <c r="AN108" i="453" s="1"/>
  <c r="AK108" i="454" s="1"/>
  <c r="AM108" i="454" s="1"/>
  <c r="AL108" i="455" s="1"/>
  <c r="AN108" i="455" s="1"/>
  <c r="AL104" i="444"/>
  <c r="AN104" i="444" s="1"/>
  <c r="AJ104" i="445" s="1"/>
  <c r="AL104" i="445" s="1"/>
  <c r="AL104" i="446" s="1"/>
  <c r="AN104" i="446" s="1"/>
  <c r="AK104" i="447" s="1"/>
  <c r="AM104" i="447" s="1"/>
  <c r="AL104" i="448" s="1"/>
  <c r="AN104" i="448" s="1"/>
  <c r="AK104" i="449" s="1"/>
  <c r="AM104" i="449" s="1"/>
  <c r="AL104" i="450" s="1"/>
  <c r="AN104" i="450" s="1"/>
  <c r="AL104" i="451" s="1"/>
  <c r="AN104" i="451" s="1"/>
  <c r="AK104" i="452" s="1"/>
  <c r="AM104" i="452" s="1"/>
  <c r="AL104" i="453" s="1"/>
  <c r="AN104" i="453" s="1"/>
  <c r="AK104" i="454" s="1"/>
  <c r="AM104" i="454" s="1"/>
  <c r="AL104" i="455" s="1"/>
  <c r="AN104" i="455" s="1"/>
  <c r="AL100" i="444"/>
  <c r="AN100" i="444" s="1"/>
  <c r="AJ100" i="445" s="1"/>
  <c r="AL100" i="445" s="1"/>
  <c r="AL100" i="446" s="1"/>
  <c r="AN100" i="446" s="1"/>
  <c r="AK100" i="447" s="1"/>
  <c r="AM100" i="447" s="1"/>
  <c r="AL100" i="448" s="1"/>
  <c r="AN100" i="448" s="1"/>
  <c r="AK100" i="449" s="1"/>
  <c r="AM100" i="449" s="1"/>
  <c r="AL100" i="450" s="1"/>
  <c r="AN100" i="450" s="1"/>
  <c r="AL100" i="451" s="1"/>
  <c r="AN100" i="451" s="1"/>
  <c r="AK100" i="452" s="1"/>
  <c r="AM100" i="452" s="1"/>
  <c r="AL100" i="453" s="1"/>
  <c r="AN100" i="453" s="1"/>
  <c r="AK100" i="454" s="1"/>
  <c r="AM100" i="454" s="1"/>
  <c r="AL100" i="455" s="1"/>
  <c r="AN100" i="455" s="1"/>
  <c r="AL95" i="444"/>
  <c r="AN95" i="444" s="1"/>
  <c r="AJ95" i="445" s="1"/>
  <c r="AL95" i="445" s="1"/>
  <c r="AL95" i="446" s="1"/>
  <c r="AN95" i="446" s="1"/>
  <c r="AK95" i="447" s="1"/>
  <c r="AM95" i="447" s="1"/>
  <c r="AL95" i="448" s="1"/>
  <c r="AN95" i="448" s="1"/>
  <c r="AK95" i="449" s="1"/>
  <c r="AM95" i="449" s="1"/>
  <c r="AL95" i="450" s="1"/>
  <c r="AN95" i="450" s="1"/>
  <c r="AL95" i="451" s="1"/>
  <c r="AN95" i="451" s="1"/>
  <c r="AK95" i="452" s="1"/>
  <c r="AM95" i="452" s="1"/>
  <c r="AL95" i="453" s="1"/>
  <c r="AN95" i="453" s="1"/>
  <c r="AK95" i="454" s="1"/>
  <c r="AM95" i="454" s="1"/>
  <c r="AL95" i="455" s="1"/>
  <c r="AN95" i="455" s="1"/>
  <c r="AL94" i="444"/>
  <c r="AN94" i="444" s="1"/>
  <c r="AJ94" i="445" s="1"/>
  <c r="AL94" i="445" s="1"/>
  <c r="AL94" i="446" s="1"/>
  <c r="AN94" i="446" s="1"/>
  <c r="AK94" i="447" s="1"/>
  <c r="AM94" i="447" s="1"/>
  <c r="AL94" i="448" s="1"/>
  <c r="AN94" i="448" s="1"/>
  <c r="AK94" i="449" s="1"/>
  <c r="AM94" i="449" s="1"/>
  <c r="AL94" i="450" s="1"/>
  <c r="AN94" i="450" s="1"/>
  <c r="AL94" i="451" s="1"/>
  <c r="AN94" i="451" s="1"/>
  <c r="AK94" i="452" s="1"/>
  <c r="AM94" i="452" s="1"/>
  <c r="AL94" i="453" s="1"/>
  <c r="AN94" i="453" s="1"/>
  <c r="AK94" i="454" s="1"/>
  <c r="AM94" i="454" s="1"/>
  <c r="AL94" i="455" s="1"/>
  <c r="AN94" i="455" s="1"/>
  <c r="AL93" i="444"/>
  <c r="AN93" i="444" s="1"/>
  <c r="AJ93" i="445" s="1"/>
  <c r="AL93" i="445" s="1"/>
  <c r="AL93" i="446" s="1"/>
  <c r="AN93" i="446" s="1"/>
  <c r="AK93" i="447" s="1"/>
  <c r="AM93" i="447" s="1"/>
  <c r="AL93" i="448" s="1"/>
  <c r="AN93" i="448" s="1"/>
  <c r="AK93" i="449" s="1"/>
  <c r="AM93" i="449" s="1"/>
  <c r="AL93" i="450" s="1"/>
  <c r="AN93" i="450" s="1"/>
  <c r="AL93" i="451" s="1"/>
  <c r="AN93" i="451" s="1"/>
  <c r="AK93" i="452" s="1"/>
  <c r="AM93" i="452" s="1"/>
  <c r="AL93" i="453" s="1"/>
  <c r="AN93" i="453" s="1"/>
  <c r="AK93" i="454" s="1"/>
  <c r="AM93" i="454" s="1"/>
  <c r="AL93" i="455" s="1"/>
  <c r="AN93" i="455" s="1"/>
  <c r="AL92" i="444"/>
  <c r="AN92" i="444" s="1"/>
  <c r="AJ92" i="445" s="1"/>
  <c r="AL92" i="445" s="1"/>
  <c r="AL92" i="446" s="1"/>
  <c r="AN92" i="446" s="1"/>
  <c r="AK92" i="447" s="1"/>
  <c r="AM92" i="447" s="1"/>
  <c r="AL92" i="448" s="1"/>
  <c r="AN92" i="448" s="1"/>
  <c r="AK92" i="449" s="1"/>
  <c r="AM92" i="449" s="1"/>
  <c r="AL92" i="450" s="1"/>
  <c r="AN92" i="450" s="1"/>
  <c r="AL92" i="451" s="1"/>
  <c r="AN92" i="451" s="1"/>
  <c r="AK92" i="452" s="1"/>
  <c r="AM92" i="452" s="1"/>
  <c r="AL92" i="453" s="1"/>
  <c r="AN92" i="453" s="1"/>
  <c r="AK92" i="454" s="1"/>
  <c r="AM92" i="454" s="1"/>
  <c r="AL92" i="455" s="1"/>
  <c r="AN92" i="455" s="1"/>
  <c r="AL91" i="444"/>
  <c r="AN91" i="444" s="1"/>
  <c r="AJ91" i="445" s="1"/>
  <c r="AL91" i="445" s="1"/>
  <c r="AL91" i="446" s="1"/>
  <c r="AN91" i="446" s="1"/>
  <c r="AK91" i="447" s="1"/>
  <c r="AM91" i="447" s="1"/>
  <c r="AL91" i="448" s="1"/>
  <c r="AN91" i="448" s="1"/>
  <c r="AK91" i="449" s="1"/>
  <c r="AM91" i="449" s="1"/>
  <c r="AL91" i="450" s="1"/>
  <c r="AN91" i="450" s="1"/>
  <c r="AL91" i="451" s="1"/>
  <c r="AN91" i="451" s="1"/>
  <c r="AK91" i="452" s="1"/>
  <c r="AM91" i="452" s="1"/>
  <c r="AL91" i="453" s="1"/>
  <c r="AN91" i="453" s="1"/>
  <c r="AK91" i="454" s="1"/>
  <c r="AM91" i="454" s="1"/>
  <c r="AL91" i="455" s="1"/>
  <c r="AN91" i="455" s="1"/>
  <c r="AL90" i="444"/>
  <c r="AN90" i="444" s="1"/>
  <c r="AJ90" i="445" s="1"/>
  <c r="AL90" i="445" s="1"/>
  <c r="AL90" i="446" s="1"/>
  <c r="AN90" i="446" s="1"/>
  <c r="AK90" i="447" s="1"/>
  <c r="AM90" i="447" s="1"/>
  <c r="AL90" i="448" s="1"/>
  <c r="AN90" i="448" s="1"/>
  <c r="AK90" i="449" s="1"/>
  <c r="AM90" i="449" s="1"/>
  <c r="AL90" i="450" s="1"/>
  <c r="AN90" i="450" s="1"/>
  <c r="AL90" i="451" s="1"/>
  <c r="AN90" i="451" s="1"/>
  <c r="AK90" i="452" s="1"/>
  <c r="AM90" i="452" s="1"/>
  <c r="AL90" i="453" s="1"/>
  <c r="AN90" i="453" s="1"/>
  <c r="AK90" i="454" s="1"/>
  <c r="AM90" i="454" s="1"/>
  <c r="AL90" i="455" s="1"/>
  <c r="AN90" i="455" s="1"/>
  <c r="AL89" i="444"/>
  <c r="AN89" i="444" s="1"/>
  <c r="AJ89" i="445" s="1"/>
  <c r="AL89" i="445" s="1"/>
  <c r="AL89" i="446" s="1"/>
  <c r="AN89" i="446" s="1"/>
  <c r="AK89" i="447" s="1"/>
  <c r="AM89" i="447" s="1"/>
  <c r="AL89" i="448" s="1"/>
  <c r="AN89" i="448" s="1"/>
  <c r="AK89" i="449" s="1"/>
  <c r="AM89" i="449" s="1"/>
  <c r="AL89" i="450" s="1"/>
  <c r="AN89" i="450" s="1"/>
  <c r="AL89" i="451" s="1"/>
  <c r="AN89" i="451" s="1"/>
  <c r="AK89" i="452" s="1"/>
  <c r="AM89" i="452" s="1"/>
  <c r="AL89" i="453" s="1"/>
  <c r="AN89" i="453" s="1"/>
  <c r="AK89" i="454" s="1"/>
  <c r="AM89" i="454" s="1"/>
  <c r="AL89" i="455" s="1"/>
  <c r="AN89" i="455" s="1"/>
  <c r="AL88" i="444"/>
  <c r="AN88" i="444" s="1"/>
  <c r="AJ88" i="445" s="1"/>
  <c r="AL88" i="445" s="1"/>
  <c r="AL88" i="446" s="1"/>
  <c r="AN88" i="446" s="1"/>
  <c r="AK88" i="447" s="1"/>
  <c r="AM88" i="447" s="1"/>
  <c r="AL88" i="448" s="1"/>
  <c r="AN88" i="448" s="1"/>
  <c r="AK88" i="449" s="1"/>
  <c r="AM88" i="449" s="1"/>
  <c r="AL88" i="450" s="1"/>
  <c r="AN88" i="450" s="1"/>
  <c r="AL88" i="451" s="1"/>
  <c r="AN88" i="451" s="1"/>
  <c r="AK88" i="452" s="1"/>
  <c r="AM88" i="452" s="1"/>
  <c r="AL88" i="453" s="1"/>
  <c r="AN88" i="453" s="1"/>
  <c r="AK88" i="454" s="1"/>
  <c r="AM88" i="454" s="1"/>
  <c r="AL88" i="455" s="1"/>
  <c r="AN88" i="455" s="1"/>
  <c r="AL87" i="444"/>
  <c r="AN87" i="444" s="1"/>
  <c r="AJ87" i="445" s="1"/>
  <c r="AL87" i="445" s="1"/>
  <c r="AL87" i="446" s="1"/>
  <c r="AN87" i="446" s="1"/>
  <c r="AK87" i="447" s="1"/>
  <c r="AM87" i="447" s="1"/>
  <c r="AL87" i="448" s="1"/>
  <c r="AN87" i="448" s="1"/>
  <c r="AK87" i="449" s="1"/>
  <c r="AM87" i="449" s="1"/>
  <c r="AL87" i="450" s="1"/>
  <c r="AN87" i="450" s="1"/>
  <c r="AL87" i="451" s="1"/>
  <c r="AN87" i="451" s="1"/>
  <c r="AK87" i="452" s="1"/>
  <c r="AM87" i="452" s="1"/>
  <c r="AL87" i="453" s="1"/>
  <c r="AN87" i="453" s="1"/>
  <c r="AK87" i="454" s="1"/>
  <c r="AM87" i="454" s="1"/>
  <c r="AL87" i="455" s="1"/>
  <c r="AN87" i="455" s="1"/>
  <c r="AL86" i="444"/>
  <c r="AN86" i="444" s="1"/>
  <c r="AJ86" i="445" s="1"/>
  <c r="AL86" i="445" s="1"/>
  <c r="AL86" i="446" s="1"/>
  <c r="AN86" i="446" s="1"/>
  <c r="AK86" i="447" s="1"/>
  <c r="AM86" i="447" s="1"/>
  <c r="AL86" i="448" s="1"/>
  <c r="AN86" i="448" s="1"/>
  <c r="AK86" i="449" s="1"/>
  <c r="AM86" i="449" s="1"/>
  <c r="AL86" i="450" s="1"/>
  <c r="AN86" i="450" s="1"/>
  <c r="AL86" i="451" s="1"/>
  <c r="AN86" i="451" s="1"/>
  <c r="AK86" i="452" s="1"/>
  <c r="AM86" i="452" s="1"/>
  <c r="AL86" i="453" s="1"/>
  <c r="AN86" i="453" s="1"/>
  <c r="AK86" i="454" s="1"/>
  <c r="AM86" i="454" s="1"/>
  <c r="AL86" i="455" s="1"/>
  <c r="AN86" i="455" s="1"/>
  <c r="AL65" i="444"/>
  <c r="AL58" i="444"/>
  <c r="U7" i="444"/>
  <c r="E52" i="444" s="1"/>
  <c r="AM24" i="15"/>
  <c r="AM20" i="15"/>
  <c r="AM16" i="15"/>
  <c r="AC24" i="15"/>
  <c r="AC20" i="15"/>
  <c r="AC16" i="15"/>
  <c r="P24" i="15"/>
  <c r="P20" i="15"/>
  <c r="P16" i="15"/>
  <c r="AO24" i="15"/>
  <c r="AO20" i="15"/>
  <c r="AO16" i="15"/>
  <c r="AJ26" i="15"/>
  <c r="AF26" i="15"/>
  <c r="AK25" i="15"/>
  <c r="AG25" i="15"/>
  <c r="AL24" i="15"/>
  <c r="AH24" i="15"/>
  <c r="AD24" i="15"/>
  <c r="AI23" i="15"/>
  <c r="AE23" i="15"/>
  <c r="AJ22" i="15"/>
  <c r="AF22" i="15"/>
  <c r="AK21" i="15"/>
  <c r="AG21" i="15"/>
  <c r="AL20" i="15"/>
  <c r="AH20" i="15"/>
  <c r="AD20" i="15"/>
  <c r="AI19" i="15"/>
  <c r="AE19" i="15"/>
  <c r="AJ18" i="15"/>
  <c r="AF18" i="15"/>
  <c r="AK17" i="15"/>
  <c r="AG17" i="15"/>
  <c r="AL16" i="15"/>
  <c r="AH16" i="15"/>
  <c r="AD16" i="15"/>
  <c r="AI15" i="15"/>
  <c r="AE15" i="15"/>
  <c r="Y26" i="15"/>
  <c r="W25" i="15"/>
  <c r="S25" i="15"/>
  <c r="Y24" i="15"/>
  <c r="W23" i="15"/>
  <c r="S23" i="15"/>
  <c r="Y22" i="15"/>
  <c r="W21" i="15"/>
  <c r="S21" i="15"/>
  <c r="Y20" i="15"/>
  <c r="W19" i="15"/>
  <c r="S19" i="15"/>
  <c r="Y18" i="15"/>
  <c r="W17" i="15"/>
  <c r="S17" i="15"/>
  <c r="Y16" i="15"/>
  <c r="W15" i="15"/>
  <c r="S15" i="15"/>
  <c r="J26" i="15"/>
  <c r="J25" i="15"/>
  <c r="J24" i="15"/>
  <c r="J23" i="15"/>
  <c r="J22" i="15"/>
  <c r="J21" i="15"/>
  <c r="J20" i="15"/>
  <c r="J19" i="15"/>
  <c r="J18" i="15"/>
  <c r="J17" i="15"/>
  <c r="J16" i="15"/>
  <c r="J15" i="15"/>
  <c r="J27" i="15" s="1"/>
  <c r="AL10" i="15"/>
  <c r="AH10" i="15"/>
  <c r="AD10" i="15"/>
  <c r="Y10" i="15"/>
  <c r="U10" i="15"/>
  <c r="M10" i="15"/>
  <c r="I10" i="15"/>
  <c r="AM17" i="15"/>
  <c r="AC25" i="15"/>
  <c r="P17" i="15"/>
  <c r="AK26" i="15"/>
  <c r="AD25" i="15"/>
  <c r="AJ23" i="15"/>
  <c r="AD21" i="15"/>
  <c r="AF19" i="15"/>
  <c r="AH17" i="15"/>
  <c r="AE16" i="15"/>
  <c r="K23" i="15"/>
  <c r="K19" i="15"/>
  <c r="K15" i="15"/>
  <c r="AI10" i="15"/>
  <c r="P10" i="15"/>
  <c r="AM23" i="15"/>
  <c r="AM19" i="15"/>
  <c r="AM15" i="15"/>
  <c r="AC23" i="15"/>
  <c r="AC19" i="15"/>
  <c r="AC15" i="15"/>
  <c r="P23" i="15"/>
  <c r="P19" i="15"/>
  <c r="P15" i="15"/>
  <c r="AO23" i="15"/>
  <c r="AO19" i="15"/>
  <c r="AO15" i="15"/>
  <c r="AI26" i="15"/>
  <c r="AE26" i="15"/>
  <c r="AJ25" i="15"/>
  <c r="AF25" i="15"/>
  <c r="AK24" i="15"/>
  <c r="AG24" i="15"/>
  <c r="AL23" i="15"/>
  <c r="AH23" i="15"/>
  <c r="AD23" i="15"/>
  <c r="AI22" i="15"/>
  <c r="AE22" i="15"/>
  <c r="AJ21" i="15"/>
  <c r="AF21" i="15"/>
  <c r="AK20" i="15"/>
  <c r="AG20" i="15"/>
  <c r="AL19" i="15"/>
  <c r="AH19" i="15"/>
  <c r="AD19" i="15"/>
  <c r="AI18" i="15"/>
  <c r="AE18" i="15"/>
  <c r="AJ17" i="15"/>
  <c r="AF17" i="15"/>
  <c r="AK16" i="15"/>
  <c r="AG16" i="15"/>
  <c r="AL15" i="15"/>
  <c r="AH15" i="15"/>
  <c r="AD15" i="15"/>
  <c r="I26" i="15"/>
  <c r="I25" i="15"/>
  <c r="I24" i="15"/>
  <c r="I23" i="15"/>
  <c r="I22" i="15"/>
  <c r="I21" i="15"/>
  <c r="I20" i="15"/>
  <c r="I19" i="15"/>
  <c r="I18" i="15"/>
  <c r="I17" i="15"/>
  <c r="I16" i="15"/>
  <c r="I15" i="15"/>
  <c r="AK10" i="15"/>
  <c r="AG10" i="15"/>
  <c r="AC10" i="15"/>
  <c r="X10" i="15"/>
  <c r="T10" i="15"/>
  <c r="L10" i="15"/>
  <c r="AM25" i="15"/>
  <c r="P25" i="15"/>
  <c r="AO25" i="15"/>
  <c r="AG26" i="15"/>
  <c r="AI24" i="15"/>
  <c r="AK22" i="15"/>
  <c r="AH21" i="15"/>
  <c r="AE20" i="15"/>
  <c r="AK18" i="15"/>
  <c r="AD17" i="15"/>
  <c r="AF15" i="15"/>
  <c r="K25" i="15"/>
  <c r="K20" i="15"/>
  <c r="K16" i="15"/>
  <c r="AE10" i="15"/>
  <c r="J10" i="15"/>
  <c r="AM26" i="15"/>
  <c r="AM22" i="15"/>
  <c r="AM18" i="15"/>
  <c r="AC26" i="15"/>
  <c r="AC22" i="15"/>
  <c r="AC18" i="15"/>
  <c r="P26" i="15"/>
  <c r="P22" i="15"/>
  <c r="P18" i="15"/>
  <c r="AO26" i="15"/>
  <c r="AO22" i="15"/>
  <c r="AO18" i="15"/>
  <c r="AL26" i="15"/>
  <c r="AH26" i="15"/>
  <c r="AD26" i="15"/>
  <c r="AI25" i="15"/>
  <c r="AE25" i="15"/>
  <c r="AJ24" i="15"/>
  <c r="AF24" i="15"/>
  <c r="AK23" i="15"/>
  <c r="AG23" i="15"/>
  <c r="AL22" i="15"/>
  <c r="AH22" i="15"/>
  <c r="AD22" i="15"/>
  <c r="AI21" i="15"/>
  <c r="AE21" i="15"/>
  <c r="AJ20" i="15"/>
  <c r="AF20" i="15"/>
  <c r="AK19" i="15"/>
  <c r="AG19" i="15"/>
  <c r="AL18" i="15"/>
  <c r="AH18" i="15"/>
  <c r="AD18" i="15"/>
  <c r="AI17" i="15"/>
  <c r="AE17" i="15"/>
  <c r="AJ16" i="15"/>
  <c r="AF16" i="15"/>
  <c r="AK15" i="15"/>
  <c r="AG15" i="15"/>
  <c r="W26" i="15"/>
  <c r="S26" i="15"/>
  <c r="Y25" i="15"/>
  <c r="W24" i="15"/>
  <c r="S24" i="15"/>
  <c r="Y23" i="15"/>
  <c r="W22" i="15"/>
  <c r="S22" i="15"/>
  <c r="Y21" i="15"/>
  <c r="W20" i="15"/>
  <c r="S20" i="15"/>
  <c r="Y19" i="15"/>
  <c r="W18" i="15"/>
  <c r="S18" i="15"/>
  <c r="Y17" i="15"/>
  <c r="W16" i="15"/>
  <c r="S16" i="15"/>
  <c r="Y15" i="15"/>
  <c r="AO10" i="15"/>
  <c r="AJ10" i="15"/>
  <c r="AF10" i="15"/>
  <c r="AA10" i="15"/>
  <c r="W10" i="15"/>
  <c r="S10" i="15"/>
  <c r="K10" i="15"/>
  <c r="AM21" i="15"/>
  <c r="AC21" i="15"/>
  <c r="P21" i="15"/>
  <c r="AO17" i="15"/>
  <c r="AH25" i="15"/>
  <c r="AF23" i="15"/>
  <c r="AL21" i="15"/>
  <c r="AJ19" i="15"/>
  <c r="AL17" i="15"/>
  <c r="AI16" i="15"/>
  <c r="K26" i="15"/>
  <c r="K24" i="15"/>
  <c r="K21" i="15"/>
  <c r="K18" i="15"/>
  <c r="AM10" i="15"/>
  <c r="V10" i="15"/>
  <c r="AC17" i="15"/>
  <c r="AO21" i="15"/>
  <c r="AL25" i="15"/>
  <c r="AE24" i="15"/>
  <c r="AG22" i="15"/>
  <c r="AI20" i="15"/>
  <c r="AG18" i="15"/>
  <c r="AJ15" i="15"/>
  <c r="K22" i="15"/>
  <c r="K17" i="15"/>
  <c r="Z10" i="15"/>
  <c r="K11" i="446"/>
  <c r="K54" i="446" s="1"/>
  <c r="K11" i="454"/>
  <c r="K54" i="454" s="1"/>
  <c r="K11" i="450"/>
  <c r="K54" i="450" s="1"/>
  <c r="K82" i="452"/>
  <c r="K11" i="451"/>
  <c r="K54" i="451" s="1"/>
  <c r="L11" i="444"/>
  <c r="L54" i="444" s="1"/>
  <c r="L9" i="444"/>
  <c r="L12" i="444"/>
  <c r="M10" i="444"/>
  <c r="L49" i="444"/>
  <c r="L11" i="447"/>
  <c r="L54" i="447" s="1"/>
  <c r="L12" i="445"/>
  <c r="M10" i="445"/>
  <c r="L11" i="445"/>
  <c r="L54" i="445" s="1"/>
  <c r="L9" i="445"/>
  <c r="L49" i="445"/>
  <c r="K82" i="448"/>
  <c r="K73" i="448"/>
  <c r="K11" i="449"/>
  <c r="K54" i="449" s="1"/>
  <c r="K11" i="453"/>
  <c r="K54" i="453" s="1"/>
  <c r="AE80" i="455"/>
  <c r="AA80" i="455"/>
  <c r="W80" i="455"/>
  <c r="S80" i="455"/>
  <c r="O80" i="455"/>
  <c r="K80" i="455"/>
  <c r="G80" i="455"/>
  <c r="C80" i="455"/>
  <c r="AC80" i="455"/>
  <c r="Y80" i="455"/>
  <c r="U80" i="455"/>
  <c r="Q80" i="455"/>
  <c r="M80" i="455"/>
  <c r="I80" i="455"/>
  <c r="E80" i="455"/>
  <c r="AD80" i="455"/>
  <c r="V80" i="455"/>
  <c r="N80" i="455"/>
  <c r="F80" i="455"/>
  <c r="AB80" i="455"/>
  <c r="T80" i="455"/>
  <c r="L80" i="455"/>
  <c r="D80" i="455"/>
  <c r="Z80" i="455"/>
  <c r="R80" i="455"/>
  <c r="J80" i="455"/>
  <c r="B80" i="455"/>
  <c r="AF80" i="455"/>
  <c r="X80" i="455"/>
  <c r="P80" i="455"/>
  <c r="H80" i="455"/>
  <c r="AD80" i="454"/>
  <c r="Z80" i="454"/>
  <c r="V80" i="454"/>
  <c r="R80" i="454"/>
  <c r="N80" i="454"/>
  <c r="J80" i="454"/>
  <c r="F80" i="454"/>
  <c r="B80" i="454"/>
  <c r="AB80" i="454"/>
  <c r="X80" i="454"/>
  <c r="T80" i="454"/>
  <c r="P80" i="454"/>
  <c r="L80" i="454"/>
  <c r="H80" i="454"/>
  <c r="D80" i="454"/>
  <c r="AA80" i="454"/>
  <c r="S80" i="454"/>
  <c r="K80" i="454"/>
  <c r="C80" i="454"/>
  <c r="Y80" i="454"/>
  <c r="Q80" i="454"/>
  <c r="I80" i="454"/>
  <c r="AE80" i="454"/>
  <c r="W80" i="454"/>
  <c r="O80" i="454"/>
  <c r="G80" i="454"/>
  <c r="AC80" i="454"/>
  <c r="U80" i="454"/>
  <c r="M80" i="454"/>
  <c r="E80" i="454"/>
  <c r="AF80" i="453"/>
  <c r="AB80" i="453"/>
  <c r="X80" i="453"/>
  <c r="T80" i="453"/>
  <c r="P80" i="453"/>
  <c r="L80" i="453"/>
  <c r="H80" i="453"/>
  <c r="D80" i="453"/>
  <c r="AE80" i="453"/>
  <c r="AA80" i="453"/>
  <c r="W80" i="453"/>
  <c r="S80" i="453"/>
  <c r="O80" i="453"/>
  <c r="K80" i="453"/>
  <c r="G80" i="453"/>
  <c r="C80" i="453"/>
  <c r="AD80" i="453"/>
  <c r="Z80" i="453"/>
  <c r="V80" i="453"/>
  <c r="R80" i="453"/>
  <c r="N80" i="453"/>
  <c r="J80" i="453"/>
  <c r="F80" i="453"/>
  <c r="B80" i="453"/>
  <c r="AC80" i="453"/>
  <c r="Y80" i="453"/>
  <c r="U80" i="453"/>
  <c r="Q80" i="453"/>
  <c r="M80" i="453"/>
  <c r="I80" i="453"/>
  <c r="E80" i="453"/>
  <c r="AD80" i="452"/>
  <c r="Z80" i="452"/>
  <c r="V80" i="452"/>
  <c r="R80" i="452"/>
  <c r="N80" i="452"/>
  <c r="J80" i="452"/>
  <c r="F80" i="452"/>
  <c r="B80" i="452"/>
  <c r="AC80" i="452"/>
  <c r="Y80" i="452"/>
  <c r="U80" i="452"/>
  <c r="Q80" i="452"/>
  <c r="M80" i="452"/>
  <c r="I80" i="452"/>
  <c r="E80" i="452"/>
  <c r="AA80" i="452"/>
  <c r="S80" i="452"/>
  <c r="K80" i="452"/>
  <c r="C80" i="452"/>
  <c r="AD80" i="451"/>
  <c r="Z80" i="451"/>
  <c r="V80" i="451"/>
  <c r="R80" i="451"/>
  <c r="N80" i="451"/>
  <c r="J80" i="451"/>
  <c r="F80" i="451"/>
  <c r="B80" i="451"/>
  <c r="X80" i="452"/>
  <c r="P80" i="452"/>
  <c r="H80" i="452"/>
  <c r="AC80" i="451"/>
  <c r="Y80" i="451"/>
  <c r="U80" i="451"/>
  <c r="Q80" i="451"/>
  <c r="M80" i="451"/>
  <c r="I80" i="451"/>
  <c r="E80" i="451"/>
  <c r="AE80" i="452"/>
  <c r="W80" i="452"/>
  <c r="O80" i="452"/>
  <c r="G80" i="452"/>
  <c r="AB80" i="452"/>
  <c r="T80" i="452"/>
  <c r="L80" i="452"/>
  <c r="D80" i="452"/>
  <c r="AF80" i="451"/>
  <c r="X80" i="451"/>
  <c r="P80" i="451"/>
  <c r="H80" i="451"/>
  <c r="AE80" i="451"/>
  <c r="W80" i="451"/>
  <c r="O80" i="451"/>
  <c r="G80" i="451"/>
  <c r="AD80" i="450"/>
  <c r="Z80" i="450"/>
  <c r="V80" i="450"/>
  <c r="R80" i="450"/>
  <c r="N80" i="450"/>
  <c r="J80" i="450"/>
  <c r="F80" i="450"/>
  <c r="B80" i="450"/>
  <c r="AB80" i="451"/>
  <c r="T80" i="451"/>
  <c r="L80" i="451"/>
  <c r="D80" i="451"/>
  <c r="AA80" i="451"/>
  <c r="S80" i="451"/>
  <c r="K80" i="451"/>
  <c r="C80" i="451"/>
  <c r="AF80" i="450"/>
  <c r="AB80" i="450"/>
  <c r="X80" i="450"/>
  <c r="T80" i="450"/>
  <c r="P80" i="450"/>
  <c r="L80" i="450"/>
  <c r="H80" i="450"/>
  <c r="D80" i="450"/>
  <c r="AC80" i="450"/>
  <c r="U80" i="450"/>
  <c r="M80" i="450"/>
  <c r="E80" i="450"/>
  <c r="AA80" i="450"/>
  <c r="S80" i="450"/>
  <c r="K80" i="450"/>
  <c r="C80" i="450"/>
  <c r="AC80" i="449"/>
  <c r="Y80" i="449"/>
  <c r="U80" i="449"/>
  <c r="Q80" i="449"/>
  <c r="M80" i="449"/>
  <c r="I80" i="449"/>
  <c r="E80" i="449"/>
  <c r="Y80" i="450"/>
  <c r="Q80" i="450"/>
  <c r="I80" i="450"/>
  <c r="AE80" i="450"/>
  <c r="W80" i="450"/>
  <c r="O80" i="450"/>
  <c r="G80" i="450"/>
  <c r="AE80" i="449"/>
  <c r="Z80" i="449"/>
  <c r="T80" i="449"/>
  <c r="O80" i="449"/>
  <c r="J80" i="449"/>
  <c r="D80" i="449"/>
  <c r="AD80" i="449"/>
  <c r="X80" i="449"/>
  <c r="S80" i="449"/>
  <c r="N80" i="449"/>
  <c r="H80" i="449"/>
  <c r="C80" i="449"/>
  <c r="AB80" i="449"/>
  <c r="W80" i="449"/>
  <c r="R80" i="449"/>
  <c r="L80" i="449"/>
  <c r="G80" i="449"/>
  <c r="B80" i="449"/>
  <c r="AC80" i="448"/>
  <c r="Y80" i="448"/>
  <c r="U80" i="448"/>
  <c r="Q80" i="448"/>
  <c r="M80" i="448"/>
  <c r="I80" i="448"/>
  <c r="E80" i="448"/>
  <c r="AA80" i="449"/>
  <c r="V80" i="449"/>
  <c r="P80" i="449"/>
  <c r="K80" i="449"/>
  <c r="F80" i="449"/>
  <c r="AF80" i="448"/>
  <c r="AA80" i="448"/>
  <c r="V80" i="448"/>
  <c r="P80" i="448"/>
  <c r="K80" i="448"/>
  <c r="F80" i="448"/>
  <c r="AE80" i="447"/>
  <c r="AA80" i="447"/>
  <c r="W80" i="447"/>
  <c r="S80" i="447"/>
  <c r="O80" i="447"/>
  <c r="K80" i="447"/>
  <c r="G80" i="447"/>
  <c r="C80" i="447"/>
  <c r="AB51" i="447"/>
  <c r="X51" i="447"/>
  <c r="T51" i="447"/>
  <c r="P51" i="447"/>
  <c r="L51" i="447"/>
  <c r="H51" i="447"/>
  <c r="D51" i="447"/>
  <c r="AE80" i="448"/>
  <c r="Z80" i="448"/>
  <c r="T80" i="448"/>
  <c r="O80" i="448"/>
  <c r="J80" i="448"/>
  <c r="D80" i="448"/>
  <c r="AD80" i="447"/>
  <c r="Z80" i="447"/>
  <c r="V80" i="447"/>
  <c r="R80" i="447"/>
  <c r="N80" i="447"/>
  <c r="J80" i="447"/>
  <c r="F80" i="447"/>
  <c r="B80" i="447"/>
  <c r="AD80" i="446"/>
  <c r="Z80" i="446"/>
  <c r="V80" i="446"/>
  <c r="R80" i="446"/>
  <c r="N80" i="446"/>
  <c r="J80" i="446"/>
  <c r="F80" i="446"/>
  <c r="B80" i="446"/>
  <c r="AD80" i="448"/>
  <c r="X80" i="448"/>
  <c r="S80" i="448"/>
  <c r="N80" i="448"/>
  <c r="H80" i="448"/>
  <c r="C80" i="448"/>
  <c r="AC80" i="447"/>
  <c r="Y80" i="447"/>
  <c r="U80" i="447"/>
  <c r="Q80" i="447"/>
  <c r="M80" i="447"/>
  <c r="I80" i="447"/>
  <c r="E80" i="447"/>
  <c r="AC80" i="446"/>
  <c r="Y80" i="446"/>
  <c r="U80" i="446"/>
  <c r="Q80" i="446"/>
  <c r="M80" i="446"/>
  <c r="I80" i="446"/>
  <c r="E80" i="446"/>
  <c r="AB80" i="448"/>
  <c r="W80" i="448"/>
  <c r="R80" i="448"/>
  <c r="L80" i="448"/>
  <c r="G80" i="448"/>
  <c r="B80" i="448"/>
  <c r="AB80" i="447"/>
  <c r="X80" i="447"/>
  <c r="T80" i="447"/>
  <c r="P80" i="447"/>
  <c r="L80" i="447"/>
  <c r="H80" i="447"/>
  <c r="D80" i="447"/>
  <c r="AF80" i="446"/>
  <c r="AB80" i="446"/>
  <c r="X80" i="446"/>
  <c r="T80" i="446"/>
  <c r="P80" i="446"/>
  <c r="L80" i="446"/>
  <c r="H80" i="446"/>
  <c r="D80" i="446"/>
  <c r="AE80" i="446"/>
  <c r="O80" i="446"/>
  <c r="AD80" i="445"/>
  <c r="Z80" i="445"/>
  <c r="V80" i="445"/>
  <c r="R80" i="445"/>
  <c r="N80" i="445"/>
  <c r="J80" i="445"/>
  <c r="F80" i="445"/>
  <c r="B80" i="445"/>
  <c r="AE80" i="444"/>
  <c r="AA80" i="444"/>
  <c r="W80" i="444"/>
  <c r="S80" i="444"/>
  <c r="O80" i="444"/>
  <c r="K80" i="444"/>
  <c r="G80" i="444"/>
  <c r="C80" i="444"/>
  <c r="AA80" i="446"/>
  <c r="K80" i="446"/>
  <c r="AC80" i="445"/>
  <c r="Y80" i="445"/>
  <c r="U80" i="445"/>
  <c r="Q80" i="445"/>
  <c r="M80" i="445"/>
  <c r="I80" i="445"/>
  <c r="E80" i="445"/>
  <c r="AD80" i="444"/>
  <c r="Z80" i="444"/>
  <c r="V80" i="444"/>
  <c r="R80" i="444"/>
  <c r="N80" i="444"/>
  <c r="J80" i="444"/>
  <c r="F80" i="444"/>
  <c r="B80" i="444"/>
  <c r="W80" i="446"/>
  <c r="G80" i="446"/>
  <c r="AB80" i="445"/>
  <c r="X80" i="445"/>
  <c r="T80" i="445"/>
  <c r="P80" i="445"/>
  <c r="L80" i="445"/>
  <c r="H80" i="445"/>
  <c r="D80" i="445"/>
  <c r="AC80" i="444"/>
  <c r="Y80" i="444"/>
  <c r="U80" i="444"/>
  <c r="Q80" i="444"/>
  <c r="M80" i="444"/>
  <c r="I80" i="444"/>
  <c r="E80" i="444"/>
  <c r="S80" i="446"/>
  <c r="C80" i="446"/>
  <c r="AA80" i="445"/>
  <c r="W80" i="445"/>
  <c r="S80" i="445"/>
  <c r="O80" i="445"/>
  <c r="K80" i="445"/>
  <c r="G80" i="445"/>
  <c r="C80" i="445"/>
  <c r="AF80" i="444"/>
  <c r="AB80" i="444"/>
  <c r="X80" i="444"/>
  <c r="T80" i="444"/>
  <c r="P80" i="444"/>
  <c r="L80" i="444"/>
  <c r="H80" i="444"/>
  <c r="D80" i="444"/>
  <c r="B73" i="444"/>
  <c r="P51" i="444"/>
  <c r="AF51" i="444"/>
  <c r="Q51" i="445"/>
  <c r="F51" i="444"/>
  <c r="V51" i="444"/>
  <c r="C51" i="445"/>
  <c r="S51" i="445"/>
  <c r="O51" i="444"/>
  <c r="AE51" i="444"/>
  <c r="H51" i="445"/>
  <c r="X51" i="445"/>
  <c r="I51" i="446"/>
  <c r="Y51" i="446"/>
  <c r="N51" i="448"/>
  <c r="F51" i="446"/>
  <c r="V51" i="446"/>
  <c r="K51" i="447"/>
  <c r="AA51" i="447"/>
  <c r="F51" i="445"/>
  <c r="V51" i="445"/>
  <c r="C51" i="446"/>
  <c r="S51" i="446"/>
  <c r="H51" i="446"/>
  <c r="X51" i="446"/>
  <c r="E51" i="448"/>
  <c r="E51" i="447"/>
  <c r="U51" i="447"/>
  <c r="L51" i="448"/>
  <c r="AB51" i="448"/>
  <c r="B73" i="448"/>
  <c r="AE51" i="449"/>
  <c r="N51" i="447"/>
  <c r="AD51" i="447"/>
  <c r="Q51" i="448"/>
  <c r="B51" i="448"/>
  <c r="G51" i="448"/>
  <c r="W51" i="448"/>
  <c r="AD51" i="449"/>
  <c r="M51" i="449"/>
  <c r="AC51" i="449"/>
  <c r="J51" i="449"/>
  <c r="G51" i="449"/>
  <c r="H51" i="449"/>
  <c r="X51" i="449"/>
  <c r="O51" i="450"/>
  <c r="AE51" i="450"/>
  <c r="H51" i="450"/>
  <c r="X51" i="450"/>
  <c r="U51" i="451"/>
  <c r="Q51" i="450"/>
  <c r="B51" i="450"/>
  <c r="R51" i="450"/>
  <c r="N51" i="451"/>
  <c r="AD51" i="451"/>
  <c r="C51" i="451"/>
  <c r="S51" i="451"/>
  <c r="P51" i="451"/>
  <c r="AF51" i="451"/>
  <c r="B73" i="451"/>
  <c r="AD51" i="452"/>
  <c r="D51" i="452"/>
  <c r="T51" i="452"/>
  <c r="M51" i="452"/>
  <c r="AC51" i="452"/>
  <c r="V51" i="452"/>
  <c r="G51" i="452"/>
  <c r="W51" i="452"/>
  <c r="I51" i="453"/>
  <c r="Y51" i="453"/>
  <c r="J51" i="453"/>
  <c r="Z51" i="453"/>
  <c r="G51" i="453"/>
  <c r="W51" i="453"/>
  <c r="P51" i="453"/>
  <c r="AF51" i="453"/>
  <c r="E51" i="454"/>
  <c r="U51" i="454"/>
  <c r="B51" i="454"/>
  <c r="R51" i="454"/>
  <c r="O51" i="454"/>
  <c r="AE51" i="454"/>
  <c r="D51" i="454"/>
  <c r="T51" i="454"/>
  <c r="AA51" i="455"/>
  <c r="X51" i="455"/>
  <c r="D51" i="444"/>
  <c r="T51" i="444"/>
  <c r="E51" i="445"/>
  <c r="U51" i="445"/>
  <c r="B73" i="446"/>
  <c r="E51" i="444"/>
  <c r="M51" i="444"/>
  <c r="U51" i="444"/>
  <c r="AC51" i="444"/>
  <c r="J51" i="444"/>
  <c r="Z51" i="444"/>
  <c r="G51" i="445"/>
  <c r="W51" i="445"/>
  <c r="C51" i="444"/>
  <c r="S51" i="444"/>
  <c r="L51" i="445"/>
  <c r="AB51" i="445"/>
  <c r="M51" i="446"/>
  <c r="AC51" i="446"/>
  <c r="V51" i="448"/>
  <c r="B51" i="444"/>
  <c r="J51" i="446"/>
  <c r="Z51" i="446"/>
  <c r="O51" i="447"/>
  <c r="AE51" i="447"/>
  <c r="J51" i="445"/>
  <c r="Z51" i="445"/>
  <c r="G51" i="446"/>
  <c r="W51" i="446"/>
  <c r="L51" i="446"/>
  <c r="AB51" i="446"/>
  <c r="M51" i="448"/>
  <c r="I51" i="447"/>
  <c r="Y51" i="447"/>
  <c r="P51" i="448"/>
  <c r="AF51" i="448"/>
  <c r="C51" i="449"/>
  <c r="B51" i="447"/>
  <c r="R51" i="447"/>
  <c r="Y51" i="448"/>
  <c r="J51" i="448"/>
  <c r="K51" i="448"/>
  <c r="AA51" i="448"/>
  <c r="Q51" i="449"/>
  <c r="B73" i="449"/>
  <c r="R51" i="449"/>
  <c r="K51" i="449"/>
  <c r="L51" i="449"/>
  <c r="AB51" i="449"/>
  <c r="C51" i="450"/>
  <c r="S51" i="450"/>
  <c r="L51" i="450"/>
  <c r="AB51" i="450"/>
  <c r="E51" i="451"/>
  <c r="Y51" i="451"/>
  <c r="E51" i="450"/>
  <c r="U51" i="450"/>
  <c r="F51" i="450"/>
  <c r="V51" i="450"/>
  <c r="B51" i="451"/>
  <c r="R51" i="451"/>
  <c r="G51" i="451"/>
  <c r="W51" i="451"/>
  <c r="D51" i="451"/>
  <c r="T51" i="451"/>
  <c r="B51" i="452"/>
  <c r="H51" i="452"/>
  <c r="X51" i="452"/>
  <c r="Q51" i="452"/>
  <c r="Z51" i="452"/>
  <c r="K51" i="452"/>
  <c r="AA51" i="452"/>
  <c r="M51" i="453"/>
  <c r="AC51" i="453"/>
  <c r="N51" i="453"/>
  <c r="AD51" i="453"/>
  <c r="K51" i="453"/>
  <c r="AA51" i="453"/>
  <c r="D51" i="453"/>
  <c r="T51" i="453"/>
  <c r="I51" i="454"/>
  <c r="Y51" i="454"/>
  <c r="F51" i="454"/>
  <c r="V51" i="454"/>
  <c r="C51" i="454"/>
  <c r="S51" i="454"/>
  <c r="H51" i="454"/>
  <c r="X51" i="454"/>
  <c r="B51" i="455"/>
  <c r="J51" i="455"/>
  <c r="R51" i="455"/>
  <c r="Z51" i="455"/>
  <c r="G51" i="455"/>
  <c r="O51" i="455"/>
  <c r="E51" i="455"/>
  <c r="M51" i="455"/>
  <c r="U51" i="455"/>
  <c r="AC51" i="455"/>
  <c r="C51" i="455"/>
  <c r="S51" i="455"/>
  <c r="H51" i="444"/>
  <c r="X51" i="444"/>
  <c r="I51" i="445"/>
  <c r="Y51" i="445"/>
  <c r="N51" i="444"/>
  <c r="AD51" i="444"/>
  <c r="K51" i="445"/>
  <c r="AA51" i="445"/>
  <c r="G51" i="444"/>
  <c r="W51" i="444"/>
  <c r="P51" i="445"/>
  <c r="Q51" i="446"/>
  <c r="AD51" i="448"/>
  <c r="N51" i="446"/>
  <c r="AD51" i="446"/>
  <c r="C51" i="447"/>
  <c r="S51" i="447"/>
  <c r="N51" i="445"/>
  <c r="AD51" i="445"/>
  <c r="K51" i="446"/>
  <c r="AA51" i="446"/>
  <c r="P51" i="446"/>
  <c r="AF51" i="446"/>
  <c r="U51" i="448"/>
  <c r="M51" i="447"/>
  <c r="AC51" i="447"/>
  <c r="D51" i="448"/>
  <c r="T51" i="448"/>
  <c r="O51" i="449"/>
  <c r="F51" i="447"/>
  <c r="V51" i="447"/>
  <c r="R51" i="448"/>
  <c r="O51" i="448"/>
  <c r="AE51" i="448"/>
  <c r="E51" i="449"/>
  <c r="U51" i="449"/>
  <c r="B51" i="449"/>
  <c r="V51" i="449"/>
  <c r="W51" i="449"/>
  <c r="P51" i="449"/>
  <c r="G51" i="450"/>
  <c r="W51" i="450"/>
  <c r="P51" i="450"/>
  <c r="AF51" i="450"/>
  <c r="I51" i="451"/>
  <c r="I51" i="450"/>
  <c r="Y51" i="450"/>
  <c r="J51" i="450"/>
  <c r="Z51" i="450"/>
  <c r="F51" i="451"/>
  <c r="V51" i="451"/>
  <c r="K51" i="451"/>
  <c r="AA51" i="451"/>
  <c r="H51" i="451"/>
  <c r="X51" i="451"/>
  <c r="M51" i="451"/>
  <c r="N51" i="452"/>
  <c r="L51" i="452"/>
  <c r="AB51" i="452"/>
  <c r="E51" i="452"/>
  <c r="U51" i="452"/>
  <c r="F51" i="452"/>
  <c r="O51" i="452"/>
  <c r="AE51" i="452"/>
  <c r="Q51" i="453"/>
  <c r="B51" i="453"/>
  <c r="R51" i="453"/>
  <c r="O51" i="453"/>
  <c r="AE51" i="453"/>
  <c r="H51" i="453"/>
  <c r="X51" i="453"/>
  <c r="M51" i="454"/>
  <c r="AC51" i="454"/>
  <c r="J51" i="454"/>
  <c r="Z51" i="454"/>
  <c r="B73" i="454"/>
  <c r="G51" i="454"/>
  <c r="W51" i="454"/>
  <c r="L51" i="454"/>
  <c r="AB51" i="454"/>
  <c r="W51" i="455"/>
  <c r="D51" i="455"/>
  <c r="L51" i="455"/>
  <c r="T51" i="455"/>
  <c r="AB51" i="455"/>
  <c r="AE51" i="455"/>
  <c r="L51" i="444"/>
  <c r="AB51" i="444"/>
  <c r="M51" i="445"/>
  <c r="AC51" i="445"/>
  <c r="I51" i="444"/>
  <c r="Q51" i="444"/>
  <c r="Y51" i="444"/>
  <c r="R51" i="444"/>
  <c r="B73" i="445"/>
  <c r="O51" i="445"/>
  <c r="K51" i="444"/>
  <c r="AA51" i="444"/>
  <c r="D51" i="445"/>
  <c r="T51" i="445"/>
  <c r="E51" i="446"/>
  <c r="U51" i="446"/>
  <c r="F51" i="448"/>
  <c r="B51" i="446"/>
  <c r="R51" i="446"/>
  <c r="G51" i="447"/>
  <c r="W51" i="447"/>
  <c r="B51" i="445"/>
  <c r="R51" i="445"/>
  <c r="O51" i="446"/>
  <c r="AE51" i="446"/>
  <c r="D51" i="446"/>
  <c r="T51" i="446"/>
  <c r="AC51" i="448"/>
  <c r="Q51" i="447"/>
  <c r="H51" i="448"/>
  <c r="X51" i="448"/>
  <c r="S51" i="449"/>
  <c r="J51" i="447"/>
  <c r="Z51" i="447"/>
  <c r="I51" i="448"/>
  <c r="Z51" i="448"/>
  <c r="C51" i="448"/>
  <c r="S51" i="448"/>
  <c r="N51" i="449"/>
  <c r="I51" i="449"/>
  <c r="Y51" i="449"/>
  <c r="F51" i="449"/>
  <c r="Z51" i="449"/>
  <c r="AA51" i="449"/>
  <c r="D51" i="449"/>
  <c r="T51" i="449"/>
  <c r="K51" i="450"/>
  <c r="AA51" i="450"/>
  <c r="D51" i="450"/>
  <c r="T51" i="450"/>
  <c r="Q51" i="451"/>
  <c r="M51" i="450"/>
  <c r="AC51" i="450"/>
  <c r="N51" i="450"/>
  <c r="AD51" i="450"/>
  <c r="J51" i="451"/>
  <c r="Z51" i="451"/>
  <c r="O51" i="451"/>
  <c r="AE51" i="451"/>
  <c r="L51" i="451"/>
  <c r="AB51" i="451"/>
  <c r="AC51" i="451"/>
  <c r="R51" i="452"/>
  <c r="P51" i="452"/>
  <c r="I51" i="452"/>
  <c r="Y51" i="452"/>
  <c r="J51" i="452"/>
  <c r="C51" i="452"/>
  <c r="S51" i="452"/>
  <c r="E51" i="453"/>
  <c r="U51" i="453"/>
  <c r="F51" i="453"/>
  <c r="V51" i="453"/>
  <c r="C51" i="453"/>
  <c r="S51" i="453"/>
  <c r="L51" i="453"/>
  <c r="AB51" i="453"/>
  <c r="Q51" i="454"/>
  <c r="N51" i="454"/>
  <c r="AD51" i="454"/>
  <c r="K51" i="454"/>
  <c r="AA51" i="454"/>
  <c r="P51" i="454"/>
  <c r="F51" i="455"/>
  <c r="N51" i="455"/>
  <c r="V51" i="455"/>
  <c r="AD51" i="455"/>
  <c r="K51" i="455"/>
  <c r="I51" i="455"/>
  <c r="Q51" i="455"/>
  <c r="Y51" i="455"/>
  <c r="H51" i="455"/>
  <c r="P51" i="455"/>
  <c r="AF51" i="455"/>
  <c r="C73" i="448"/>
  <c r="C73" i="444"/>
  <c r="C73" i="445"/>
  <c r="C73" i="451"/>
  <c r="D73" i="448"/>
  <c r="D73" i="453"/>
  <c r="E73" i="447"/>
  <c r="E73" i="444"/>
  <c r="E73" i="453"/>
  <c r="F73" i="447"/>
  <c r="E73" i="450"/>
  <c r="F73" i="455"/>
  <c r="F73" i="450"/>
  <c r="F73" i="444"/>
  <c r="F73" i="452"/>
  <c r="G73" i="455"/>
  <c r="G73" i="449"/>
  <c r="G73" i="452"/>
  <c r="H73" i="449"/>
  <c r="H73" i="454"/>
  <c r="H73" i="446"/>
  <c r="I73" i="451"/>
  <c r="I73" i="454"/>
  <c r="I73" i="445"/>
  <c r="I73" i="446"/>
  <c r="L11" i="446"/>
  <c r="L54" i="446" s="1"/>
  <c r="L9" i="446"/>
  <c r="L12" i="446"/>
  <c r="M10" i="446"/>
  <c r="L49" i="446"/>
  <c r="K82" i="454"/>
  <c r="L11" i="450"/>
  <c r="L54" i="450" s="1"/>
  <c r="L9" i="450"/>
  <c r="L12" i="450"/>
  <c r="M10" i="450"/>
  <c r="L49" i="450"/>
  <c r="K11" i="455"/>
  <c r="K54" i="455" s="1"/>
  <c r="L12" i="451"/>
  <c r="M10" i="451"/>
  <c r="L11" i="451"/>
  <c r="L54" i="451" s="1"/>
  <c r="L9" i="451"/>
  <c r="L49" i="451"/>
  <c r="K11" i="444"/>
  <c r="K54" i="444" s="1"/>
  <c r="K82" i="445"/>
  <c r="K73" i="447"/>
  <c r="L11" i="453"/>
  <c r="L54" i="453" s="1"/>
  <c r="L9" i="453"/>
  <c r="L12" i="453"/>
  <c r="M10" i="453"/>
  <c r="L49" i="453"/>
  <c r="L9" i="27"/>
  <c r="L31" i="27" s="1"/>
  <c r="F9" i="27"/>
  <c r="I29" i="1"/>
  <c r="M9" i="27"/>
  <c r="L34" i="27"/>
  <c r="L32" i="27"/>
  <c r="L30" i="27"/>
  <c r="L27" i="27"/>
  <c r="I27" i="27"/>
  <c r="I25" i="27"/>
  <c r="I24" i="27"/>
  <c r="I26" i="27"/>
  <c r="I31" i="27"/>
  <c r="B41" i="1"/>
  <c r="F24" i="27"/>
  <c r="F32" i="27"/>
  <c r="F30" i="27"/>
  <c r="B8" i="28"/>
  <c r="N9" i="27"/>
  <c r="F25" i="1"/>
  <c r="O9" i="27"/>
  <c r="C9" i="27"/>
  <c r="H9" i="27"/>
  <c r="K9" i="27"/>
  <c r="P9" i="27"/>
  <c r="P32" i="27" s="1"/>
  <c r="B9" i="27"/>
  <c r="B24" i="27" s="1"/>
  <c r="D9" i="27"/>
  <c r="E9" i="27"/>
  <c r="J9" i="27"/>
  <c r="G9" i="27"/>
  <c r="G27" i="27" s="1"/>
  <c r="E17" i="1"/>
  <c r="E20" i="1"/>
  <c r="E16" i="1"/>
  <c r="E22" i="1"/>
  <c r="E21" i="1"/>
  <c r="E23" i="1"/>
  <c r="E13" i="1"/>
  <c r="E24" i="1"/>
  <c r="E15" i="1"/>
  <c r="E14" i="1"/>
  <c r="E19" i="1"/>
  <c r="E18" i="1"/>
  <c r="AH2" i="31"/>
  <c r="B34" i="444" s="1"/>
  <c r="L25" i="27"/>
  <c r="L28" i="27"/>
  <c r="B43" i="1"/>
  <c r="T7" i="444" s="1"/>
  <c r="T7" i="445" s="1"/>
  <c r="F25" i="27"/>
  <c r="F28" i="27"/>
  <c r="P34" i="27"/>
  <c r="I32" i="27"/>
  <c r="O3" i="31"/>
  <c r="J73" i="444" s="1"/>
  <c r="I28" i="27"/>
  <c r="I34" i="27"/>
  <c r="B26" i="27"/>
  <c r="R3" i="1"/>
  <c r="O30" i="27"/>
  <c r="B40" i="1"/>
  <c r="F34" i="27"/>
  <c r="F27" i="27"/>
  <c r="I30" i="27"/>
  <c r="AF2" i="31"/>
  <c r="B39" i="1"/>
  <c r="H14" i="1"/>
  <c r="V2" i="445" s="1"/>
  <c r="K53" i="445" s="1"/>
  <c r="P26" i="27"/>
  <c r="B28" i="27"/>
  <c r="D15" i="15"/>
  <c r="AD31" i="15"/>
  <c r="AO32" i="15"/>
  <c r="AD32" i="15"/>
  <c r="Y27" i="15"/>
  <c r="AC32" i="15"/>
  <c r="P31" i="15"/>
  <c r="J32" i="15"/>
  <c r="I32" i="15"/>
  <c r="A30" i="27"/>
  <c r="A27" i="27"/>
  <c r="A32" i="27"/>
  <c r="A26" i="27"/>
  <c r="A24" i="27"/>
  <c r="A31" i="27"/>
  <c r="A28" i="27"/>
  <c r="A25" i="27"/>
  <c r="F5" i="1"/>
  <c r="AE31" i="15" l="1"/>
  <c r="H52" i="445"/>
  <c r="T7" i="446"/>
  <c r="AJ27" i="15"/>
  <c r="K32" i="15"/>
  <c r="AM32" i="15"/>
  <c r="AK31" i="15"/>
  <c r="AE32" i="15"/>
  <c r="AL32" i="15"/>
  <c r="P32" i="15"/>
  <c r="Y32" i="15"/>
  <c r="AI32" i="15"/>
  <c r="AF27" i="15"/>
  <c r="AH32" i="15"/>
  <c r="AG27" i="15"/>
  <c r="F52" i="447"/>
  <c r="V7" i="448"/>
  <c r="AH27" i="15"/>
  <c r="S32" i="15"/>
  <c r="AI27" i="15"/>
  <c r="AL27" i="15"/>
  <c r="AF32" i="15"/>
  <c r="S27" i="15"/>
  <c r="W32" i="15"/>
  <c r="AG32" i="15"/>
  <c r="AJ32" i="15"/>
  <c r="AO31" i="15"/>
  <c r="K31" i="15"/>
  <c r="AK32" i="15"/>
  <c r="U7" i="445"/>
  <c r="U7" i="446" s="1"/>
  <c r="B31" i="27"/>
  <c r="G25" i="27"/>
  <c r="B27" i="27"/>
  <c r="L26" i="27"/>
  <c r="K52" i="448"/>
  <c r="K82" i="449"/>
  <c r="L82" i="447"/>
  <c r="L73" i="447"/>
  <c r="K53" i="444"/>
  <c r="J75" i="448"/>
  <c r="J75" i="444"/>
  <c r="D52" i="444"/>
  <c r="K52" i="444"/>
  <c r="C34" i="444"/>
  <c r="D34" i="444" s="1"/>
  <c r="E34" i="444" s="1"/>
  <c r="F34" i="444" s="1"/>
  <c r="G34" i="444" s="1"/>
  <c r="H34" i="444" s="1"/>
  <c r="I34" i="444" s="1"/>
  <c r="J34" i="444" s="1"/>
  <c r="K34" i="444" s="1"/>
  <c r="E21" i="27"/>
  <c r="E17" i="27"/>
  <c r="E13" i="27"/>
  <c r="E20" i="27"/>
  <c r="E16" i="27"/>
  <c r="E22" i="27"/>
  <c r="E18" i="27"/>
  <c r="E14" i="27"/>
  <c r="E12" i="27"/>
  <c r="E19" i="27"/>
  <c r="E15" i="27"/>
  <c r="E11" i="27"/>
  <c r="C19" i="27"/>
  <c r="C15" i="27"/>
  <c r="C11" i="27"/>
  <c r="C20" i="27"/>
  <c r="C16" i="27"/>
  <c r="C12" i="27"/>
  <c r="C22" i="27"/>
  <c r="C18" i="27"/>
  <c r="C14" i="27"/>
  <c r="C21" i="27"/>
  <c r="C17" i="27"/>
  <c r="C13" i="27"/>
  <c r="M21" i="27"/>
  <c r="M17" i="27"/>
  <c r="M13" i="27"/>
  <c r="M20" i="27"/>
  <c r="M16" i="27"/>
  <c r="M22" i="27"/>
  <c r="M18" i="27"/>
  <c r="M14" i="27"/>
  <c r="M19" i="27"/>
  <c r="M15" i="27"/>
  <c r="M11" i="27"/>
  <c r="M12" i="27"/>
  <c r="M28" i="27"/>
  <c r="G31" i="27"/>
  <c r="D20" i="27"/>
  <c r="D16" i="27"/>
  <c r="D12" i="27"/>
  <c r="D15" i="27"/>
  <c r="D11" i="27"/>
  <c r="D21" i="27"/>
  <c r="D17" i="27"/>
  <c r="D13" i="27"/>
  <c r="D19" i="27"/>
  <c r="D22" i="27"/>
  <c r="D18" i="27"/>
  <c r="D14" i="27"/>
  <c r="B28" i="28"/>
  <c r="B24" i="28"/>
  <c r="B20" i="28"/>
  <c r="B27" i="28"/>
  <c r="B23" i="28"/>
  <c r="B19" i="28"/>
  <c r="B25" i="28"/>
  <c r="B21" i="28"/>
  <c r="B17" i="28"/>
  <c r="B26" i="28"/>
  <c r="B22" i="28"/>
  <c r="B18" i="28"/>
  <c r="F22" i="27"/>
  <c r="F18" i="27"/>
  <c r="F14" i="27"/>
  <c r="F21" i="27"/>
  <c r="F17" i="27"/>
  <c r="F13" i="27"/>
  <c r="F19" i="27"/>
  <c r="F15" i="27"/>
  <c r="F11" i="27"/>
  <c r="F20" i="27"/>
  <c r="F16" i="27"/>
  <c r="F12" i="27"/>
  <c r="M11" i="453"/>
  <c r="M54" i="453" s="1"/>
  <c r="M12" i="453"/>
  <c r="N10" i="453"/>
  <c r="M9" i="453"/>
  <c r="M49" i="453"/>
  <c r="K73" i="445"/>
  <c r="L75" i="447"/>
  <c r="L76" i="447" s="1"/>
  <c r="L82" i="450"/>
  <c r="L73" i="450"/>
  <c r="I73" i="453"/>
  <c r="J73" i="447"/>
  <c r="I73" i="452"/>
  <c r="H73" i="445"/>
  <c r="H73" i="453"/>
  <c r="I73" i="447"/>
  <c r="G73" i="450"/>
  <c r="G75" i="449"/>
  <c r="G76" i="449" s="1"/>
  <c r="G73" i="453"/>
  <c r="F75" i="452"/>
  <c r="F76" i="452" s="1"/>
  <c r="F73" i="445"/>
  <c r="F75" i="450"/>
  <c r="F76" i="450" s="1"/>
  <c r="E75" i="450"/>
  <c r="E76" i="450" s="1"/>
  <c r="E75" i="453"/>
  <c r="E73" i="454"/>
  <c r="E75" i="447"/>
  <c r="E76" i="447" s="1"/>
  <c r="D73" i="444"/>
  <c r="D73" i="446"/>
  <c r="C75" i="451"/>
  <c r="C76" i="451" s="1"/>
  <c r="C75" i="445"/>
  <c r="C76" i="445" s="1"/>
  <c r="C73" i="453"/>
  <c r="AG51" i="445"/>
  <c r="AI51" i="446"/>
  <c r="AN51" i="444"/>
  <c r="B73" i="452"/>
  <c r="AN51" i="455"/>
  <c r="B73" i="455"/>
  <c r="C73" i="452"/>
  <c r="AI51" i="451"/>
  <c r="B75" i="449"/>
  <c r="B76" i="449" s="1"/>
  <c r="AM76" i="448" s="1"/>
  <c r="AI51" i="444"/>
  <c r="B75" i="446"/>
  <c r="B76" i="446" s="1"/>
  <c r="AK76" i="445" s="1"/>
  <c r="AH51" i="454"/>
  <c r="AN51" i="451"/>
  <c r="AM51" i="449"/>
  <c r="B75" i="448"/>
  <c r="B76" i="448" s="1"/>
  <c r="AL76" i="447" s="1"/>
  <c r="AG80" i="445"/>
  <c r="AH80" i="449"/>
  <c r="AH80" i="452"/>
  <c r="AH80" i="454"/>
  <c r="L82" i="444"/>
  <c r="L73" i="444"/>
  <c r="L53" i="444"/>
  <c r="L52" i="444"/>
  <c r="P7" i="444"/>
  <c r="P7" i="445" s="1"/>
  <c r="Q7" i="444"/>
  <c r="M56" i="444"/>
  <c r="AL72" i="444"/>
  <c r="I21" i="27"/>
  <c r="I17" i="27"/>
  <c r="I13" i="27"/>
  <c r="I12" i="27"/>
  <c r="I22" i="27"/>
  <c r="I18" i="27"/>
  <c r="I14" i="27"/>
  <c r="I20" i="27"/>
  <c r="I16" i="27"/>
  <c r="I19" i="27"/>
  <c r="I15" i="27"/>
  <c r="I11" i="27"/>
  <c r="L73" i="449"/>
  <c r="L82" i="449"/>
  <c r="L73" i="448"/>
  <c r="L82" i="448"/>
  <c r="M73" i="447"/>
  <c r="M82" i="447"/>
  <c r="M52" i="447"/>
  <c r="K82" i="455"/>
  <c r="J54" i="455"/>
  <c r="J82" i="455"/>
  <c r="J54" i="449"/>
  <c r="J82" i="449"/>
  <c r="J54" i="446"/>
  <c r="J82" i="446"/>
  <c r="I54" i="449"/>
  <c r="I82" i="449"/>
  <c r="I54" i="455"/>
  <c r="I82" i="455"/>
  <c r="I54" i="453"/>
  <c r="I82" i="453"/>
  <c r="H54" i="451"/>
  <c r="H82" i="451"/>
  <c r="H54" i="452"/>
  <c r="H82" i="452"/>
  <c r="H54" i="444"/>
  <c r="H53" i="444"/>
  <c r="H81" i="444"/>
  <c r="H82" i="444"/>
  <c r="G54" i="449"/>
  <c r="G82" i="449"/>
  <c r="G54" i="448"/>
  <c r="G82" i="448"/>
  <c r="H54" i="447"/>
  <c r="H82" i="447"/>
  <c r="F54" i="445"/>
  <c r="F82" i="445"/>
  <c r="F53" i="445"/>
  <c r="F55" i="445" s="1"/>
  <c r="F54" i="451"/>
  <c r="F82" i="451"/>
  <c r="F54" i="444"/>
  <c r="F81" i="444"/>
  <c r="F82" i="444"/>
  <c r="F53" i="444"/>
  <c r="E54" i="450"/>
  <c r="E82" i="450"/>
  <c r="E54" i="451"/>
  <c r="E82" i="451"/>
  <c r="F54" i="447"/>
  <c r="F82" i="447"/>
  <c r="D54" i="450"/>
  <c r="D82" i="450"/>
  <c r="D54" i="455"/>
  <c r="D82" i="455"/>
  <c r="D54" i="451"/>
  <c r="D82" i="451"/>
  <c r="C54" i="452"/>
  <c r="C82" i="452"/>
  <c r="D54" i="447"/>
  <c r="D82" i="447"/>
  <c r="C54" i="453"/>
  <c r="C82" i="453"/>
  <c r="C54" i="446"/>
  <c r="C82" i="446"/>
  <c r="B54" i="447"/>
  <c r="B82" i="447"/>
  <c r="B54" i="451"/>
  <c r="B82" i="451"/>
  <c r="B54" i="455"/>
  <c r="B82" i="455"/>
  <c r="K73" i="451"/>
  <c r="M12" i="452"/>
  <c r="M9" i="452"/>
  <c r="M11" i="452"/>
  <c r="M54" i="452" s="1"/>
  <c r="N10" i="452"/>
  <c r="M49" i="452"/>
  <c r="K73" i="450"/>
  <c r="K73" i="446"/>
  <c r="P20" i="27"/>
  <c r="P16" i="27"/>
  <c r="P12" i="27"/>
  <c r="P11" i="27"/>
  <c r="P21" i="27"/>
  <c r="P17" i="27"/>
  <c r="P13" i="27"/>
  <c r="P19" i="27"/>
  <c r="P15" i="27"/>
  <c r="P22" i="27"/>
  <c r="P18" i="27"/>
  <c r="P14" i="27"/>
  <c r="K19" i="27"/>
  <c r="K15" i="27"/>
  <c r="K11" i="27"/>
  <c r="K14" i="27"/>
  <c r="K20" i="27"/>
  <c r="K16" i="27"/>
  <c r="K12" i="27"/>
  <c r="K22" i="27"/>
  <c r="K18" i="27"/>
  <c r="K21" i="27"/>
  <c r="K17" i="27"/>
  <c r="K13" i="27"/>
  <c r="O19" i="27"/>
  <c r="O15" i="27"/>
  <c r="O11" i="27"/>
  <c r="O22" i="27"/>
  <c r="O18" i="27"/>
  <c r="O20" i="27"/>
  <c r="O16" i="27"/>
  <c r="O12" i="27"/>
  <c r="O14" i="27"/>
  <c r="O21" i="27"/>
  <c r="O17" i="27"/>
  <c r="O13" i="27"/>
  <c r="M25" i="27"/>
  <c r="L82" i="453"/>
  <c r="L73" i="453"/>
  <c r="J73" i="453"/>
  <c r="K73" i="444"/>
  <c r="M11" i="451"/>
  <c r="M54" i="451" s="1"/>
  <c r="M12" i="451"/>
  <c r="N10" i="451"/>
  <c r="M9" i="451"/>
  <c r="M49" i="451"/>
  <c r="I75" i="446"/>
  <c r="I76" i="446" s="1"/>
  <c r="I73" i="444"/>
  <c r="I75" i="454"/>
  <c r="I76" i="454" s="1"/>
  <c r="H73" i="448"/>
  <c r="H73" i="450"/>
  <c r="H73" i="444"/>
  <c r="G73" i="448"/>
  <c r="G75" i="455"/>
  <c r="G76" i="455" s="1"/>
  <c r="G73" i="444"/>
  <c r="F75" i="444"/>
  <c r="F76" i="444" s="1"/>
  <c r="F73" i="446"/>
  <c r="G73" i="447"/>
  <c r="E73" i="449"/>
  <c r="E73" i="448"/>
  <c r="E73" i="455"/>
  <c r="D73" i="449"/>
  <c r="D73" i="455"/>
  <c r="D73" i="451"/>
  <c r="C73" i="455"/>
  <c r="D73" i="447"/>
  <c r="C75" i="448"/>
  <c r="C76" i="448" s="1"/>
  <c r="AN51" i="446"/>
  <c r="B75" i="445"/>
  <c r="L55" i="444"/>
  <c r="B75" i="454"/>
  <c r="B76" i="454" s="1"/>
  <c r="AM76" i="453" s="1"/>
  <c r="AH51" i="449"/>
  <c r="H55" i="444"/>
  <c r="AN51" i="453"/>
  <c r="AH51" i="452"/>
  <c r="B73" i="450"/>
  <c r="AM51" i="454"/>
  <c r="AI80" i="448"/>
  <c r="AI80" i="446"/>
  <c r="AH80" i="447"/>
  <c r="AI80" i="451"/>
  <c r="AI80" i="453"/>
  <c r="J73" i="454"/>
  <c r="AO71" i="455"/>
  <c r="AN71" i="454"/>
  <c r="AO71" i="453"/>
  <c r="AN71" i="452"/>
  <c r="AO71" i="451"/>
  <c r="AO71" i="450"/>
  <c r="AN71" i="449"/>
  <c r="AO71" i="448"/>
  <c r="AN71" i="447"/>
  <c r="AO71" i="446"/>
  <c r="AO71" i="444"/>
  <c r="AM71" i="445"/>
  <c r="D52" i="445"/>
  <c r="J73" i="455"/>
  <c r="L73" i="454"/>
  <c r="L82" i="454"/>
  <c r="J54" i="450"/>
  <c r="J82" i="450"/>
  <c r="J54" i="448"/>
  <c r="J82" i="448"/>
  <c r="J54" i="452"/>
  <c r="J82" i="452"/>
  <c r="I54" i="450"/>
  <c r="I82" i="450"/>
  <c r="J54" i="447"/>
  <c r="J82" i="447"/>
  <c r="I54" i="445"/>
  <c r="I53" i="445"/>
  <c r="I82" i="445"/>
  <c r="H54" i="449"/>
  <c r="H82" i="449"/>
  <c r="H54" i="455"/>
  <c r="H82" i="455"/>
  <c r="H54" i="448"/>
  <c r="H82" i="448"/>
  <c r="G54" i="445"/>
  <c r="G82" i="445"/>
  <c r="G53" i="445"/>
  <c r="G55" i="445" s="1"/>
  <c r="G54" i="446"/>
  <c r="G82" i="446"/>
  <c r="G54" i="455"/>
  <c r="G82" i="455"/>
  <c r="F54" i="453"/>
  <c r="F82" i="453"/>
  <c r="F54" i="452"/>
  <c r="F82" i="452"/>
  <c r="F54" i="454"/>
  <c r="F82" i="454"/>
  <c r="E54" i="445"/>
  <c r="E82" i="445"/>
  <c r="E53" i="445"/>
  <c r="E55" i="445" s="1"/>
  <c r="E54" i="449"/>
  <c r="E82" i="449"/>
  <c r="E54" i="452"/>
  <c r="E82" i="452"/>
  <c r="D54" i="444"/>
  <c r="D81" i="444"/>
  <c r="D82" i="444"/>
  <c r="D53" i="444"/>
  <c r="D55" i="444" s="1"/>
  <c r="E54" i="447"/>
  <c r="E82" i="447"/>
  <c r="D54" i="454"/>
  <c r="D82" i="454"/>
  <c r="C54" i="448"/>
  <c r="C82" i="448"/>
  <c r="C54" i="444"/>
  <c r="C81" i="444"/>
  <c r="C82" i="444"/>
  <c r="C53" i="444"/>
  <c r="C54" i="451"/>
  <c r="C82" i="451"/>
  <c r="B54" i="445"/>
  <c r="B82" i="445"/>
  <c r="B53" i="445"/>
  <c r="B54" i="448"/>
  <c r="B82" i="448"/>
  <c r="B54" i="452"/>
  <c r="B82" i="452"/>
  <c r="K82" i="453"/>
  <c r="K82" i="450"/>
  <c r="K82" i="446"/>
  <c r="G19" i="27"/>
  <c r="G15" i="27"/>
  <c r="G11" i="27"/>
  <c r="G22" i="27"/>
  <c r="G18" i="27"/>
  <c r="G20" i="27"/>
  <c r="G16" i="27"/>
  <c r="G12" i="27"/>
  <c r="G21" i="27"/>
  <c r="G17" i="27"/>
  <c r="G13" i="27"/>
  <c r="G14" i="27"/>
  <c r="N22" i="27"/>
  <c r="N18" i="27"/>
  <c r="N14" i="27"/>
  <c r="N21" i="27"/>
  <c r="N17" i="27"/>
  <c r="N13" i="27"/>
  <c r="N19" i="27"/>
  <c r="N15" i="27"/>
  <c r="N11" i="27"/>
  <c r="N20" i="27"/>
  <c r="N16" i="27"/>
  <c r="N12" i="27"/>
  <c r="G28" i="27"/>
  <c r="P25" i="27"/>
  <c r="P28" i="27"/>
  <c r="G30" i="27"/>
  <c r="P24" i="27"/>
  <c r="AJ72" i="455"/>
  <c r="P4" i="455"/>
  <c r="V4" i="455" s="1"/>
  <c r="AI63" i="455" s="1"/>
  <c r="AI72" i="454"/>
  <c r="AJ72" i="453"/>
  <c r="P4" i="454"/>
  <c r="V4" i="454" s="1"/>
  <c r="AH63" i="454" s="1"/>
  <c r="P4" i="453"/>
  <c r="V4" i="453" s="1"/>
  <c r="AI63" i="453" s="1"/>
  <c r="P4" i="452"/>
  <c r="V4" i="452" s="1"/>
  <c r="AH63" i="452" s="1"/>
  <c r="AI72" i="452"/>
  <c r="AJ72" i="451"/>
  <c r="P4" i="451"/>
  <c r="V4" i="451" s="1"/>
  <c r="AI63" i="451" s="1"/>
  <c r="AJ72" i="450"/>
  <c r="AI72" i="449"/>
  <c r="P4" i="449"/>
  <c r="V4" i="449" s="1"/>
  <c r="AH63" i="449" s="1"/>
  <c r="P4" i="450"/>
  <c r="V4" i="450" s="1"/>
  <c r="AI63" i="450" s="1"/>
  <c r="P4" i="447"/>
  <c r="V4" i="447" s="1"/>
  <c r="AH63" i="447" s="1"/>
  <c r="AJ72" i="448"/>
  <c r="AI72" i="447"/>
  <c r="P4" i="448"/>
  <c r="V4" i="448" s="1"/>
  <c r="AI63" i="448" s="1"/>
  <c r="AJ72" i="446"/>
  <c r="P4" i="446"/>
  <c r="V4" i="446" s="1"/>
  <c r="AI63" i="446" s="1"/>
  <c r="AH72" i="445"/>
  <c r="P4" i="445"/>
  <c r="V4" i="445" s="1"/>
  <c r="AG63" i="445" s="1"/>
  <c r="AJ72" i="444"/>
  <c r="P4" i="444"/>
  <c r="V4" i="444" s="1"/>
  <c r="AI63" i="444" s="1"/>
  <c r="AJ2" i="15"/>
  <c r="G24" i="27"/>
  <c r="G34" i="27"/>
  <c r="O25" i="27"/>
  <c r="J22" i="27"/>
  <c r="J18" i="27"/>
  <c r="J14" i="27"/>
  <c r="J19" i="27"/>
  <c r="J15" i="27"/>
  <c r="J11" i="27"/>
  <c r="J21" i="27"/>
  <c r="J17" i="27"/>
  <c r="J13" i="27"/>
  <c r="J20" i="27"/>
  <c r="J16" i="27"/>
  <c r="J12" i="27"/>
  <c r="B22" i="27"/>
  <c r="B18" i="27"/>
  <c r="B14" i="27"/>
  <c r="B19" i="27"/>
  <c r="B15" i="27"/>
  <c r="B11" i="27"/>
  <c r="B21" i="27"/>
  <c r="B13" i="27"/>
  <c r="B20" i="27"/>
  <c r="B16" i="27"/>
  <c r="B12" i="27"/>
  <c r="B17" i="27"/>
  <c r="H20" i="27"/>
  <c r="H16" i="27"/>
  <c r="H12" i="27"/>
  <c r="H19" i="27"/>
  <c r="H21" i="27"/>
  <c r="H17" i="27"/>
  <c r="H13" i="27"/>
  <c r="H15" i="27"/>
  <c r="H22" i="27"/>
  <c r="H18" i="27"/>
  <c r="H14" i="27"/>
  <c r="H11" i="27"/>
  <c r="F26" i="27"/>
  <c r="F31" i="27"/>
  <c r="L20" i="27"/>
  <c r="L16" i="27"/>
  <c r="L12" i="27"/>
  <c r="L15" i="27"/>
  <c r="L21" i="27"/>
  <c r="L17" i="27"/>
  <c r="L13" i="27"/>
  <c r="L19" i="27"/>
  <c r="L11" i="27"/>
  <c r="L22" i="27"/>
  <c r="L18" i="27"/>
  <c r="L14" i="27"/>
  <c r="K75" i="447"/>
  <c r="K76" i="447" s="1"/>
  <c r="K73" i="449"/>
  <c r="K82" i="444"/>
  <c r="L82" i="451"/>
  <c r="L73" i="451"/>
  <c r="K73" i="454"/>
  <c r="M49" i="446"/>
  <c r="M11" i="446"/>
  <c r="M54" i="446" s="1"/>
  <c r="M9" i="446"/>
  <c r="M12" i="446"/>
  <c r="N10" i="446"/>
  <c r="I75" i="445"/>
  <c r="I76" i="445" s="1"/>
  <c r="I73" i="455"/>
  <c r="I73" i="449"/>
  <c r="H73" i="455"/>
  <c r="H75" i="454"/>
  <c r="H76" i="454" s="1"/>
  <c r="H75" i="449"/>
  <c r="H76" i="449" s="1"/>
  <c r="H73" i="447"/>
  <c r="G73" i="445"/>
  <c r="G73" i="446"/>
  <c r="F73" i="453"/>
  <c r="F73" i="449"/>
  <c r="F73" i="454"/>
  <c r="F75" i="447"/>
  <c r="F76" i="447" s="1"/>
  <c r="E75" i="444"/>
  <c r="E73" i="452"/>
  <c r="D75" i="453"/>
  <c r="D76" i="453" s="1"/>
  <c r="D73" i="452"/>
  <c r="D73" i="450"/>
  <c r="C73" i="450"/>
  <c r="C73" i="446"/>
  <c r="C73" i="454"/>
  <c r="AL51" i="445"/>
  <c r="AI51" i="455"/>
  <c r="AM51" i="452"/>
  <c r="AI80" i="444"/>
  <c r="AN80" i="444" s="1"/>
  <c r="AJ80" i="445" s="1"/>
  <c r="AM51" i="447"/>
  <c r="AI80" i="455"/>
  <c r="K75" i="448"/>
  <c r="M12" i="445"/>
  <c r="N10" i="445"/>
  <c r="M11" i="445"/>
  <c r="M54" i="445" s="1"/>
  <c r="M9" i="445"/>
  <c r="M49" i="445"/>
  <c r="J73" i="450"/>
  <c r="R7" i="444"/>
  <c r="R7" i="445" s="1"/>
  <c r="C52" i="445"/>
  <c r="J52" i="445"/>
  <c r="B52" i="446"/>
  <c r="I52" i="446"/>
  <c r="B52" i="445"/>
  <c r="I52" i="445"/>
  <c r="M11" i="449"/>
  <c r="M54" i="449" s="1"/>
  <c r="M12" i="449"/>
  <c r="M9" i="449"/>
  <c r="N10" i="449"/>
  <c r="M49" i="449"/>
  <c r="N12" i="447"/>
  <c r="N9" i="447"/>
  <c r="N11" i="447"/>
  <c r="N54" i="447" s="1"/>
  <c r="O10" i="447"/>
  <c r="N49" i="447"/>
  <c r="K73" i="455"/>
  <c r="J75" i="445"/>
  <c r="J76" i="445" s="1"/>
  <c r="M11" i="454"/>
  <c r="M54" i="454" s="1"/>
  <c r="M12" i="454"/>
  <c r="M9" i="454"/>
  <c r="N10" i="454"/>
  <c r="M49" i="454"/>
  <c r="J75" i="451"/>
  <c r="J54" i="444"/>
  <c r="J81" i="444"/>
  <c r="J82" i="444"/>
  <c r="J53" i="444"/>
  <c r="J54" i="445"/>
  <c r="J82" i="445"/>
  <c r="J53" i="445"/>
  <c r="J54" i="453"/>
  <c r="J82" i="453"/>
  <c r="I54" i="451"/>
  <c r="I82" i="451"/>
  <c r="I54" i="444"/>
  <c r="I82" i="444"/>
  <c r="I81" i="444"/>
  <c r="I53" i="444"/>
  <c r="I55" i="444" s="1"/>
  <c r="I54" i="454"/>
  <c r="I82" i="454"/>
  <c r="H54" i="450"/>
  <c r="H82" i="450"/>
  <c r="H54" i="453"/>
  <c r="H82" i="453"/>
  <c r="H54" i="445"/>
  <c r="H53" i="445"/>
  <c r="H55" i="445" s="1"/>
  <c r="H82" i="445"/>
  <c r="G54" i="454"/>
  <c r="G82" i="454"/>
  <c r="G54" i="453"/>
  <c r="G82" i="453"/>
  <c r="G54" i="451"/>
  <c r="G82" i="451"/>
  <c r="F54" i="448"/>
  <c r="F82" i="448"/>
  <c r="G54" i="447"/>
  <c r="G82" i="447"/>
  <c r="F54" i="455"/>
  <c r="F82" i="455"/>
  <c r="E54" i="454"/>
  <c r="E82" i="454"/>
  <c r="E54" i="448"/>
  <c r="E82" i="448"/>
  <c r="E54" i="446"/>
  <c r="E82" i="446"/>
  <c r="D54" i="446"/>
  <c r="D82" i="446"/>
  <c r="D54" i="448"/>
  <c r="D82" i="448"/>
  <c r="D54" i="445"/>
  <c r="D82" i="445"/>
  <c r="D53" i="445"/>
  <c r="D55" i="445" s="1"/>
  <c r="C54" i="447"/>
  <c r="C82" i="447"/>
  <c r="C54" i="455"/>
  <c r="C82" i="455"/>
  <c r="C54" i="449"/>
  <c r="C82" i="449"/>
  <c r="B54" i="444"/>
  <c r="B82" i="444"/>
  <c r="B81" i="444"/>
  <c r="B53" i="444"/>
  <c r="B55" i="444" s="1"/>
  <c r="B54" i="449"/>
  <c r="B82" i="449"/>
  <c r="B54" i="453"/>
  <c r="B82" i="453"/>
  <c r="B42" i="1"/>
  <c r="V3" i="444"/>
  <c r="M11" i="455"/>
  <c r="M54" i="455" s="1"/>
  <c r="M12" i="455"/>
  <c r="N10" i="455"/>
  <c r="M9" i="455"/>
  <c r="M49" i="455"/>
  <c r="L82" i="452"/>
  <c r="L73" i="452"/>
  <c r="M12" i="450"/>
  <c r="N10" i="450"/>
  <c r="M11" i="450"/>
  <c r="M54" i="450" s="1"/>
  <c r="M9" i="450"/>
  <c r="M49" i="450"/>
  <c r="L82" i="446"/>
  <c r="L73" i="446"/>
  <c r="I73" i="450"/>
  <c r="I73" i="448"/>
  <c r="I75" i="451"/>
  <c r="I76" i="451" s="1"/>
  <c r="H75" i="446"/>
  <c r="H73" i="452"/>
  <c r="H73" i="451"/>
  <c r="G75" i="452"/>
  <c r="G76" i="452" s="1"/>
  <c r="G73" i="451"/>
  <c r="G73" i="454"/>
  <c r="F73" i="448"/>
  <c r="F73" i="451"/>
  <c r="F75" i="455"/>
  <c r="E73" i="451"/>
  <c r="E73" i="446"/>
  <c r="E73" i="445"/>
  <c r="D73" i="454"/>
  <c r="D75" i="448"/>
  <c r="D76" i="448" s="1"/>
  <c r="D73" i="445"/>
  <c r="C73" i="449"/>
  <c r="C75" i="444"/>
  <c r="C76" i="444" s="1"/>
  <c r="B73" i="453"/>
  <c r="C73" i="447"/>
  <c r="K55" i="444"/>
  <c r="AI51" i="453"/>
  <c r="K55" i="445"/>
  <c r="I55" i="445"/>
  <c r="AN51" i="450"/>
  <c r="AH51" i="447"/>
  <c r="J55" i="445"/>
  <c r="C55" i="444"/>
  <c r="J55" i="444"/>
  <c r="B75" i="451"/>
  <c r="AI51" i="450"/>
  <c r="AI51" i="448"/>
  <c r="B73" i="447"/>
  <c r="F55" i="444"/>
  <c r="B75" i="444"/>
  <c r="AI80" i="450"/>
  <c r="L82" i="445"/>
  <c r="L53" i="445"/>
  <c r="L55" i="445" s="1"/>
  <c r="L73" i="445"/>
  <c r="M12" i="444"/>
  <c r="N10" i="444"/>
  <c r="M11" i="444"/>
  <c r="M54" i="444" s="1"/>
  <c r="M9" i="444"/>
  <c r="M49" i="444"/>
  <c r="K73" i="452"/>
  <c r="J73" i="446"/>
  <c r="AO60" i="455"/>
  <c r="AN60" i="454"/>
  <c r="AO60" i="453"/>
  <c r="AN60" i="452"/>
  <c r="AO60" i="451"/>
  <c r="AO60" i="450"/>
  <c r="AN60" i="449"/>
  <c r="AO60" i="448"/>
  <c r="AN60" i="447"/>
  <c r="AO60" i="446"/>
  <c r="AO60" i="444"/>
  <c r="AM60" i="445"/>
  <c r="M68" i="444"/>
  <c r="M11" i="448"/>
  <c r="M54" i="448" s="1"/>
  <c r="M9" i="448"/>
  <c r="M12" i="448"/>
  <c r="N10" i="448"/>
  <c r="M49" i="448"/>
  <c r="J54" i="451"/>
  <c r="J82" i="451"/>
  <c r="K54" i="447"/>
  <c r="K82" i="447"/>
  <c r="J54" i="454"/>
  <c r="J82" i="454"/>
  <c r="I54" i="448"/>
  <c r="I82" i="448"/>
  <c r="I54" i="446"/>
  <c r="I82" i="446"/>
  <c r="I54" i="452"/>
  <c r="I82" i="452"/>
  <c r="H54" i="454"/>
  <c r="H82" i="454"/>
  <c r="H54" i="446"/>
  <c r="H82" i="446"/>
  <c r="I54" i="447"/>
  <c r="I82" i="447"/>
  <c r="G54" i="452"/>
  <c r="G82" i="452"/>
  <c r="G54" i="450"/>
  <c r="G82" i="450"/>
  <c r="G54" i="444"/>
  <c r="G82" i="444"/>
  <c r="G53" i="444"/>
  <c r="G55" i="444" s="1"/>
  <c r="G81" i="444"/>
  <c r="F54" i="449"/>
  <c r="F82" i="449"/>
  <c r="F54" i="446"/>
  <c r="F82" i="446"/>
  <c r="F54" i="450"/>
  <c r="F82" i="450"/>
  <c r="E54" i="453"/>
  <c r="E82" i="453"/>
  <c r="E54" i="444"/>
  <c r="E82" i="444"/>
  <c r="E81" i="444"/>
  <c r="E53" i="444"/>
  <c r="E55" i="444" s="1"/>
  <c r="E54" i="455"/>
  <c r="E82" i="455"/>
  <c r="D54" i="449"/>
  <c r="D82" i="449"/>
  <c r="D54" i="452"/>
  <c r="D82" i="452"/>
  <c r="D54" i="453"/>
  <c r="D82" i="453"/>
  <c r="C54" i="450"/>
  <c r="C82" i="450"/>
  <c r="C54" i="454"/>
  <c r="C82" i="454"/>
  <c r="C54" i="445"/>
  <c r="C82" i="445"/>
  <c r="C53" i="445"/>
  <c r="C55" i="445" s="1"/>
  <c r="B54" i="446"/>
  <c r="B82" i="446"/>
  <c r="B54" i="450"/>
  <c r="B82" i="450"/>
  <c r="B54" i="454"/>
  <c r="B82" i="454"/>
  <c r="K73" i="453"/>
  <c r="K82" i="451"/>
  <c r="L82" i="455"/>
  <c r="L73" i="455"/>
  <c r="J73" i="452"/>
  <c r="J73" i="449"/>
  <c r="R6" i="1"/>
  <c r="R5" i="1"/>
  <c r="R4" i="1"/>
  <c r="M30" i="27"/>
  <c r="M34" i="27"/>
  <c r="M24" i="27"/>
  <c r="M32" i="27"/>
  <c r="M26" i="27"/>
  <c r="M27" i="27"/>
  <c r="M31" i="27"/>
  <c r="L24" i="27"/>
  <c r="C18" i="28"/>
  <c r="C17" i="28"/>
  <c r="B9" i="28"/>
  <c r="B11" i="28" s="1"/>
  <c r="AC31" i="15"/>
  <c r="D8" i="28"/>
  <c r="K31" i="27"/>
  <c r="K27" i="27"/>
  <c r="K25" i="27"/>
  <c r="K34" i="27"/>
  <c r="K28" i="27"/>
  <c r="K26" i="27"/>
  <c r="K32" i="27"/>
  <c r="K24" i="27"/>
  <c r="K30" i="27"/>
  <c r="O31" i="27"/>
  <c r="O27" i="27"/>
  <c r="O24" i="27"/>
  <c r="O26" i="27"/>
  <c r="O32" i="27"/>
  <c r="J30" i="27"/>
  <c r="J24" i="27"/>
  <c r="J32" i="27"/>
  <c r="J31" i="27"/>
  <c r="J34" i="27"/>
  <c r="J25" i="27"/>
  <c r="J26" i="27"/>
  <c r="J28" i="27"/>
  <c r="J27" i="27"/>
  <c r="B30" i="27"/>
  <c r="B34" i="27"/>
  <c r="B25" i="27"/>
  <c r="B32" i="27"/>
  <c r="H32" i="27"/>
  <c r="H27" i="27"/>
  <c r="H28" i="27"/>
  <c r="H31" i="27"/>
  <c r="H24" i="27"/>
  <c r="H30" i="27"/>
  <c r="H25" i="27"/>
  <c r="H34" i="27"/>
  <c r="H26" i="27"/>
  <c r="O34" i="27"/>
  <c r="G32" i="27"/>
  <c r="G26" i="27"/>
  <c r="E31" i="27"/>
  <c r="E25" i="27"/>
  <c r="E30" i="27"/>
  <c r="E24" i="27"/>
  <c r="E26" i="27"/>
  <c r="E27" i="27"/>
  <c r="E34" i="27"/>
  <c r="E32" i="27"/>
  <c r="E28" i="27"/>
  <c r="P27" i="27"/>
  <c r="P31" i="27"/>
  <c r="P30" i="27"/>
  <c r="C31" i="27"/>
  <c r="R20" i="27"/>
  <c r="C30" i="27"/>
  <c r="C25" i="27"/>
  <c r="C24" i="27"/>
  <c r="C28" i="27"/>
  <c r="C26" i="27"/>
  <c r="C32" i="27"/>
  <c r="C27" i="27"/>
  <c r="C34" i="27"/>
  <c r="N32" i="27"/>
  <c r="N31" i="27"/>
  <c r="N30" i="27"/>
  <c r="N28" i="27"/>
  <c r="N25" i="27"/>
  <c r="N34" i="27"/>
  <c r="N26" i="27"/>
  <c r="N27" i="27"/>
  <c r="N24" i="27"/>
  <c r="R18" i="27"/>
  <c r="O28" i="27"/>
  <c r="D24" i="27"/>
  <c r="D27" i="27"/>
  <c r="D25" i="27"/>
  <c r="D28" i="27"/>
  <c r="D26" i="27"/>
  <c r="D32" i="27"/>
  <c r="D31" i="27"/>
  <c r="D30" i="27"/>
  <c r="D34" i="27"/>
  <c r="N30" i="15"/>
  <c r="O30" i="15"/>
  <c r="J14" i="1"/>
  <c r="V3" i="445" s="1"/>
  <c r="H15" i="1"/>
  <c r="D16" i="15"/>
  <c r="AK27" i="15"/>
  <c r="Y31" i="15"/>
  <c r="T22" i="27"/>
  <c r="AD27" i="15"/>
  <c r="T19" i="27"/>
  <c r="AJ31" i="15"/>
  <c r="T15" i="27"/>
  <c r="T20" i="27"/>
  <c r="T18" i="27"/>
  <c r="T14" i="27"/>
  <c r="T12" i="27"/>
  <c r="T21" i="27"/>
  <c r="T17" i="27"/>
  <c r="T13" i="27"/>
  <c r="T16" i="27"/>
  <c r="T11" i="27"/>
  <c r="AO27" i="15"/>
  <c r="N35" i="27" s="1"/>
  <c r="W27" i="15"/>
  <c r="W31" i="15"/>
  <c r="AC27" i="15"/>
  <c r="I27" i="15"/>
  <c r="I31" i="15"/>
  <c r="K27" i="15"/>
  <c r="AL31" i="15"/>
  <c r="J31" i="15"/>
  <c r="P27" i="15"/>
  <c r="S31" i="15"/>
  <c r="AG31" i="15"/>
  <c r="AI31" i="15"/>
  <c r="AH31" i="15"/>
  <c r="AF31" i="15"/>
  <c r="AE27" i="15"/>
  <c r="AM27" i="15"/>
  <c r="AM28" i="15" s="1"/>
  <c r="AM29" i="15" s="1"/>
  <c r="AM31" i="15"/>
  <c r="AH65" i="447" l="1"/>
  <c r="L18" i="15"/>
  <c r="AH65" i="452"/>
  <c r="L23" i="15"/>
  <c r="H52" i="444"/>
  <c r="Q7" i="445"/>
  <c r="H52" i="446"/>
  <c r="U7" i="447"/>
  <c r="AG65" i="445"/>
  <c r="L16" i="15"/>
  <c r="AI65" i="448"/>
  <c r="L19" i="15"/>
  <c r="AI65" i="450"/>
  <c r="L21" i="15"/>
  <c r="AI65" i="451"/>
  <c r="L22" i="15"/>
  <c r="AI65" i="453"/>
  <c r="L24" i="15"/>
  <c r="AI65" i="455"/>
  <c r="L26" i="15"/>
  <c r="K52" i="445"/>
  <c r="P7" i="446"/>
  <c r="D52" i="448"/>
  <c r="V7" i="449"/>
  <c r="G52" i="446"/>
  <c r="T7" i="447"/>
  <c r="AH65" i="449"/>
  <c r="L20" i="15"/>
  <c r="AH65" i="454"/>
  <c r="L25" i="15"/>
  <c r="AL80" i="445"/>
  <c r="AL80" i="446" s="1"/>
  <c r="AN80" i="446" s="1"/>
  <c r="AK80" i="447" s="1"/>
  <c r="AM80" i="447" s="1"/>
  <c r="AL80" i="448" s="1"/>
  <c r="AN80" i="448" s="1"/>
  <c r="AK80" i="449" s="1"/>
  <c r="AM80" i="449" s="1"/>
  <c r="AL80" i="450" s="1"/>
  <c r="AN80" i="450" s="1"/>
  <c r="AL80" i="451" s="1"/>
  <c r="AN80" i="451" s="1"/>
  <c r="AK80" i="452" s="1"/>
  <c r="AM80" i="452" s="1"/>
  <c r="AL80" i="453" s="1"/>
  <c r="AN80" i="453" s="1"/>
  <c r="AK80" i="454" s="1"/>
  <c r="AM80" i="454" s="1"/>
  <c r="AL80" i="455" s="1"/>
  <c r="AN80" i="455" s="1"/>
  <c r="F52" i="445"/>
  <c r="R7" i="446"/>
  <c r="AI65" i="444"/>
  <c r="L15" i="15"/>
  <c r="AI65" i="446"/>
  <c r="L17" i="15"/>
  <c r="F77" i="455"/>
  <c r="F69" i="455" s="1"/>
  <c r="H77" i="446"/>
  <c r="H69" i="446" s="1"/>
  <c r="B77" i="445"/>
  <c r="E77" i="444"/>
  <c r="E69" i="444" s="1"/>
  <c r="K77" i="447"/>
  <c r="K69" i="447" s="1"/>
  <c r="J75" i="446"/>
  <c r="J76" i="446" s="1"/>
  <c r="I77" i="446" s="1"/>
  <c r="I69" i="446" s="1"/>
  <c r="C19" i="28"/>
  <c r="V2" i="446"/>
  <c r="D25" i="28"/>
  <c r="D21" i="28"/>
  <c r="D17" i="28"/>
  <c r="E17" i="28" s="1"/>
  <c r="D20" i="28"/>
  <c r="D26" i="28"/>
  <c r="D22" i="28"/>
  <c r="D18" i="28"/>
  <c r="D28" i="28"/>
  <c r="D24" i="28"/>
  <c r="D27" i="28"/>
  <c r="D23" i="28"/>
  <c r="D19" i="28"/>
  <c r="J75" i="452"/>
  <c r="N12" i="448"/>
  <c r="O10" i="448"/>
  <c r="N11" i="448"/>
  <c r="N54" i="448" s="1"/>
  <c r="N9" i="448"/>
  <c r="N49" i="448"/>
  <c r="K75" i="452"/>
  <c r="K76" i="452" s="1"/>
  <c r="B77" i="444"/>
  <c r="B75" i="447"/>
  <c r="B76" i="447" s="1"/>
  <c r="AM76" i="446" s="1"/>
  <c r="B77" i="451"/>
  <c r="E75" i="445"/>
  <c r="E76" i="445" s="1"/>
  <c r="G75" i="454"/>
  <c r="G77" i="454" s="1"/>
  <c r="G69" i="454" s="1"/>
  <c r="M82" i="450"/>
  <c r="M73" i="450"/>
  <c r="L75" i="452"/>
  <c r="L76" i="452" s="1"/>
  <c r="M73" i="454"/>
  <c r="M82" i="454"/>
  <c r="N12" i="449"/>
  <c r="N9" i="449"/>
  <c r="N11" i="449"/>
  <c r="N54" i="449" s="1"/>
  <c r="O10" i="449"/>
  <c r="N49" i="449"/>
  <c r="D75" i="452"/>
  <c r="D76" i="452" s="1"/>
  <c r="E75" i="452"/>
  <c r="E77" i="452" s="1"/>
  <c r="E69" i="452" s="1"/>
  <c r="F75" i="449"/>
  <c r="F77" i="449" s="1"/>
  <c r="F69" i="449" s="1"/>
  <c r="H75" i="447"/>
  <c r="H76" i="447" s="1"/>
  <c r="I75" i="449"/>
  <c r="I76" i="449" s="1"/>
  <c r="H77" i="449" s="1"/>
  <c r="H69" i="449" s="1"/>
  <c r="I77" i="445"/>
  <c r="I69" i="445" s="1"/>
  <c r="K75" i="454"/>
  <c r="L75" i="451"/>
  <c r="L76" i="451" s="1"/>
  <c r="B76" i="445"/>
  <c r="AM76" i="444" s="1"/>
  <c r="D75" i="451"/>
  <c r="D76" i="451" s="1"/>
  <c r="C77" i="451" s="1"/>
  <c r="C69" i="451" s="1"/>
  <c r="E75" i="448"/>
  <c r="H75" i="444"/>
  <c r="H76" i="444" s="1"/>
  <c r="N11" i="451"/>
  <c r="N54" i="451" s="1"/>
  <c r="N9" i="451"/>
  <c r="N12" i="451"/>
  <c r="O10" i="451"/>
  <c r="N49" i="451"/>
  <c r="N12" i="452"/>
  <c r="N9" i="452"/>
  <c r="N11" i="452"/>
  <c r="N54" i="452" s="1"/>
  <c r="O10" i="452"/>
  <c r="N49" i="452"/>
  <c r="C75" i="452"/>
  <c r="C76" i="452" s="1"/>
  <c r="B75" i="455"/>
  <c r="B76" i="455" s="1"/>
  <c r="AL76" i="454" s="1"/>
  <c r="C75" i="453"/>
  <c r="C77" i="453" s="1"/>
  <c r="C69" i="453" s="1"/>
  <c r="D75" i="444"/>
  <c r="E75" i="454"/>
  <c r="E76" i="454" s="1"/>
  <c r="G77" i="449"/>
  <c r="G69" i="449" s="1"/>
  <c r="H75" i="453"/>
  <c r="I75" i="453"/>
  <c r="I76" i="453" s="1"/>
  <c r="N11" i="453"/>
  <c r="N54" i="453" s="1"/>
  <c r="N9" i="453"/>
  <c r="N12" i="453"/>
  <c r="O10" i="453"/>
  <c r="N49" i="453"/>
  <c r="L75" i="455"/>
  <c r="L76" i="455" s="1"/>
  <c r="K75" i="453"/>
  <c r="AP60" i="455"/>
  <c r="AO60" i="454"/>
  <c r="AP60" i="453"/>
  <c r="AO60" i="452"/>
  <c r="AP60" i="451"/>
  <c r="AP60" i="450"/>
  <c r="AO60" i="449"/>
  <c r="AP60" i="448"/>
  <c r="AO60" i="447"/>
  <c r="AP60" i="446"/>
  <c r="AP60" i="444"/>
  <c r="AN60" i="445"/>
  <c r="AP71" i="455"/>
  <c r="AO71" i="454"/>
  <c r="AP71" i="453"/>
  <c r="AP71" i="451"/>
  <c r="AO71" i="452"/>
  <c r="AP71" i="450"/>
  <c r="AO71" i="449"/>
  <c r="AP71" i="448"/>
  <c r="AO71" i="447"/>
  <c r="AP71" i="446"/>
  <c r="AP71" i="444"/>
  <c r="AN71" i="445"/>
  <c r="J75" i="449"/>
  <c r="J76" i="449" s="1"/>
  <c r="M73" i="448"/>
  <c r="M82" i="448"/>
  <c r="N11" i="444"/>
  <c r="N54" i="444" s="1"/>
  <c r="N12" i="444"/>
  <c r="N9" i="444"/>
  <c r="O10" i="444"/>
  <c r="N49" i="444"/>
  <c r="N56" i="444"/>
  <c r="N68" i="444"/>
  <c r="L75" i="445"/>
  <c r="L76" i="445" s="1"/>
  <c r="B76" i="444"/>
  <c r="B76" i="451"/>
  <c r="AM76" i="450" s="1"/>
  <c r="B75" i="453"/>
  <c r="E75" i="446"/>
  <c r="E76" i="446" s="1"/>
  <c r="F76" i="455"/>
  <c r="G75" i="451"/>
  <c r="G76" i="451" s="1"/>
  <c r="H75" i="451"/>
  <c r="H77" i="451" s="1"/>
  <c r="H69" i="451" s="1"/>
  <c r="H76" i="446"/>
  <c r="I75" i="448"/>
  <c r="I76" i="448" s="1"/>
  <c r="N12" i="455"/>
  <c r="N11" i="455"/>
  <c r="N54" i="455" s="1"/>
  <c r="N9" i="455"/>
  <c r="O10" i="455"/>
  <c r="N49" i="455"/>
  <c r="S7" i="444"/>
  <c r="S7" i="445" s="1"/>
  <c r="O12" i="447"/>
  <c r="O11" i="447"/>
  <c r="O54" i="447" s="1"/>
  <c r="P10" i="447"/>
  <c r="O9" i="447"/>
  <c r="O49" i="447"/>
  <c r="N82" i="447"/>
  <c r="N73" i="447"/>
  <c r="N12" i="445"/>
  <c r="O10" i="445"/>
  <c r="N11" i="445"/>
  <c r="N54" i="445" s="1"/>
  <c r="N9" i="445"/>
  <c r="N49" i="445"/>
  <c r="K76" i="448"/>
  <c r="C75" i="446"/>
  <c r="F75" i="453"/>
  <c r="I75" i="455"/>
  <c r="I76" i="455" s="1"/>
  <c r="N11" i="446"/>
  <c r="N54" i="446" s="1"/>
  <c r="N9" i="446"/>
  <c r="N12" i="446"/>
  <c r="O10" i="446"/>
  <c r="N49" i="446"/>
  <c r="J75" i="454"/>
  <c r="J76" i="454" s="1"/>
  <c r="I77" i="454" s="1"/>
  <c r="I69" i="454" s="1"/>
  <c r="C77" i="448"/>
  <c r="C69" i="448" s="1"/>
  <c r="D75" i="455"/>
  <c r="D76" i="455" s="1"/>
  <c r="E76" i="449"/>
  <c r="E75" i="449"/>
  <c r="H75" i="450"/>
  <c r="M73" i="451"/>
  <c r="M82" i="451"/>
  <c r="K75" i="444"/>
  <c r="L75" i="453"/>
  <c r="K75" i="446"/>
  <c r="K76" i="446" s="1"/>
  <c r="L75" i="449"/>
  <c r="L76" i="449" s="1"/>
  <c r="B77" i="448"/>
  <c r="B55" i="445"/>
  <c r="E77" i="450"/>
  <c r="E69" i="450" s="1"/>
  <c r="H75" i="445"/>
  <c r="H77" i="445" s="1"/>
  <c r="H69" i="445" s="1"/>
  <c r="L75" i="450"/>
  <c r="K75" i="445"/>
  <c r="K76" i="445" s="1"/>
  <c r="J77" i="445" s="1"/>
  <c r="J69" i="445" s="1"/>
  <c r="M82" i="453"/>
  <c r="M73" i="453"/>
  <c r="J76" i="444"/>
  <c r="M82" i="444"/>
  <c r="M73" i="444"/>
  <c r="M53" i="444"/>
  <c r="M55" i="444" s="1"/>
  <c r="M52" i="444"/>
  <c r="C75" i="449"/>
  <c r="C76" i="449" s="1"/>
  <c r="B77" i="449" s="1"/>
  <c r="E75" i="451"/>
  <c r="F75" i="451"/>
  <c r="H75" i="452"/>
  <c r="H76" i="452" s="1"/>
  <c r="G77" i="452" s="1"/>
  <c r="G69" i="452" s="1"/>
  <c r="I75" i="450"/>
  <c r="I76" i="450" s="1"/>
  <c r="L75" i="446"/>
  <c r="M82" i="455"/>
  <c r="M73" i="455"/>
  <c r="N12" i="454"/>
  <c r="N9" i="454"/>
  <c r="N11" i="454"/>
  <c r="N54" i="454" s="1"/>
  <c r="O10" i="454"/>
  <c r="N49" i="454"/>
  <c r="B52" i="444"/>
  <c r="I52" i="444"/>
  <c r="M53" i="445"/>
  <c r="M55" i="445" s="1"/>
  <c r="M73" i="445"/>
  <c r="M52" i="445"/>
  <c r="M82" i="445"/>
  <c r="C75" i="454"/>
  <c r="C76" i="454" s="1"/>
  <c r="B77" i="454" s="1"/>
  <c r="C75" i="450"/>
  <c r="C76" i="450" s="1"/>
  <c r="G75" i="446"/>
  <c r="G77" i="446" s="1"/>
  <c r="G69" i="446" s="1"/>
  <c r="H77" i="454"/>
  <c r="H69" i="454" s="1"/>
  <c r="M73" i="446"/>
  <c r="M82" i="446"/>
  <c r="M53" i="446"/>
  <c r="M55" i="446" s="1"/>
  <c r="J75" i="455"/>
  <c r="J76" i="455" s="1"/>
  <c r="B75" i="450"/>
  <c r="D75" i="447"/>
  <c r="D77" i="447" s="1"/>
  <c r="D69" i="447" s="1"/>
  <c r="D75" i="449"/>
  <c r="D77" i="449" s="1"/>
  <c r="D69" i="449" s="1"/>
  <c r="G75" i="447"/>
  <c r="G76" i="447" s="1"/>
  <c r="F77" i="447" s="1"/>
  <c r="F69" i="447" s="1"/>
  <c r="H75" i="448"/>
  <c r="I75" i="444"/>
  <c r="I77" i="444" s="1"/>
  <c r="I69" i="444" s="1"/>
  <c r="J75" i="453"/>
  <c r="K75" i="450"/>
  <c r="K76" i="450" s="1"/>
  <c r="M75" i="447"/>
  <c r="M76" i="447" s="1"/>
  <c r="L77" i="447" s="1"/>
  <c r="L69" i="447" s="1"/>
  <c r="B75" i="452"/>
  <c r="B76" i="452" s="1"/>
  <c r="AM76" i="451" s="1"/>
  <c r="F75" i="445"/>
  <c r="F76" i="445" s="1"/>
  <c r="G75" i="453"/>
  <c r="G75" i="450"/>
  <c r="G76" i="450" s="1"/>
  <c r="F77" i="450" s="1"/>
  <c r="F69" i="450" s="1"/>
  <c r="I75" i="452"/>
  <c r="I76" i="452" s="1"/>
  <c r="K81" i="444"/>
  <c r="L34" i="444"/>
  <c r="J77" i="448"/>
  <c r="J69" i="448" s="1"/>
  <c r="C75" i="447"/>
  <c r="C76" i="447" s="1"/>
  <c r="D75" i="445"/>
  <c r="D75" i="454"/>
  <c r="D76" i="454" s="1"/>
  <c r="F75" i="448"/>
  <c r="F76" i="448" s="1"/>
  <c r="N11" i="450"/>
  <c r="N54" i="450" s="1"/>
  <c r="N12" i="450"/>
  <c r="O10" i="450"/>
  <c r="N9" i="450"/>
  <c r="N49" i="450"/>
  <c r="J76" i="451"/>
  <c r="I77" i="451" s="1"/>
  <c r="I69" i="451" s="1"/>
  <c r="K75" i="455"/>
  <c r="M82" i="449"/>
  <c r="M73" i="449"/>
  <c r="J75" i="450"/>
  <c r="D75" i="450"/>
  <c r="D77" i="450" s="1"/>
  <c r="D69" i="450" s="1"/>
  <c r="E76" i="444"/>
  <c r="F75" i="454"/>
  <c r="G75" i="445"/>
  <c r="G76" i="445" s="1"/>
  <c r="H75" i="455"/>
  <c r="K75" i="449"/>
  <c r="L75" i="454"/>
  <c r="L76" i="454" s="1"/>
  <c r="B69" i="445"/>
  <c r="C75" i="455"/>
  <c r="E75" i="455"/>
  <c r="E77" i="455" s="1"/>
  <c r="E69" i="455" s="1"/>
  <c r="F75" i="446"/>
  <c r="F76" i="446" s="1"/>
  <c r="G75" i="444"/>
  <c r="G76" i="444" s="1"/>
  <c r="F77" i="444" s="1"/>
  <c r="F69" i="444" s="1"/>
  <c r="G75" i="448"/>
  <c r="G76" i="448" s="1"/>
  <c r="M82" i="452"/>
  <c r="M73" i="452"/>
  <c r="K75" i="451"/>
  <c r="L75" i="448"/>
  <c r="W7" i="444"/>
  <c r="G52" i="444"/>
  <c r="L75" i="444"/>
  <c r="L76" i="444" s="1"/>
  <c r="D75" i="446"/>
  <c r="D76" i="446" s="1"/>
  <c r="E77" i="447"/>
  <c r="E69" i="447" s="1"/>
  <c r="E76" i="453"/>
  <c r="D77" i="453" s="1"/>
  <c r="D69" i="453" s="1"/>
  <c r="F77" i="452"/>
  <c r="F69" i="452" s="1"/>
  <c r="I75" i="447"/>
  <c r="J75" i="447"/>
  <c r="J77" i="447" s="1"/>
  <c r="J69" i="447" s="1"/>
  <c r="J76" i="448"/>
  <c r="R13" i="27"/>
  <c r="R17" i="27"/>
  <c r="R11" i="27"/>
  <c r="R12" i="27"/>
  <c r="R22" i="27"/>
  <c r="B12" i="28"/>
  <c r="B14" i="28"/>
  <c r="B13" i="28"/>
  <c r="B30" i="28"/>
  <c r="B34" i="28"/>
  <c r="B31" i="28"/>
  <c r="D9" i="28"/>
  <c r="D12" i="28" s="1"/>
  <c r="F8" i="28"/>
  <c r="R25" i="27"/>
  <c r="R24" i="27"/>
  <c r="R31" i="27"/>
  <c r="R30" i="27"/>
  <c r="R27" i="27"/>
  <c r="R28" i="27"/>
  <c r="E19" i="28"/>
  <c r="E18" i="28"/>
  <c r="R26" i="27"/>
  <c r="R16" i="27"/>
  <c r="R21" i="27"/>
  <c r="R15" i="27"/>
  <c r="R34" i="27"/>
  <c r="R14" i="27"/>
  <c r="R19" i="27"/>
  <c r="R32" i="27"/>
  <c r="J15" i="1"/>
  <c r="V3" i="446" s="1"/>
  <c r="D17" i="15"/>
  <c r="H16" i="1"/>
  <c r="V2" i="447" s="1"/>
  <c r="N53" i="447" s="1"/>
  <c r="N55" i="447" s="1"/>
  <c r="J35" i="27"/>
  <c r="O35" i="27"/>
  <c r="H35" i="27"/>
  <c r="E35" i="27"/>
  <c r="I35" i="27"/>
  <c r="G35" i="27"/>
  <c r="K35" i="27"/>
  <c r="B35" i="27"/>
  <c r="R35" i="27"/>
  <c r="M35" i="27"/>
  <c r="D35" i="27"/>
  <c r="P35" i="27"/>
  <c r="L35" i="27"/>
  <c r="F35" i="27"/>
  <c r="T34" i="27"/>
  <c r="T30" i="27"/>
  <c r="T31" i="27"/>
  <c r="T32" i="27"/>
  <c r="T28" i="27"/>
  <c r="T27" i="27"/>
  <c r="T26" i="27"/>
  <c r="T25" i="27"/>
  <c r="T24" i="27"/>
  <c r="C35" i="27"/>
  <c r="G52" i="445" l="1"/>
  <c r="S7" i="446"/>
  <c r="M25" i="15"/>
  <c r="L32" i="15"/>
  <c r="M23" i="15"/>
  <c r="M17" i="15"/>
  <c r="E52" i="446"/>
  <c r="R7" i="447"/>
  <c r="L52" i="446"/>
  <c r="H52" i="449"/>
  <c r="V7" i="450"/>
  <c r="M24" i="15"/>
  <c r="M21" i="15"/>
  <c r="M16" i="15"/>
  <c r="E52" i="445"/>
  <c r="Q7" i="446"/>
  <c r="W7" i="445"/>
  <c r="L52" i="445"/>
  <c r="L31" i="15"/>
  <c r="L27" i="15"/>
  <c r="M20" i="15"/>
  <c r="E52" i="447"/>
  <c r="U7" i="448"/>
  <c r="L52" i="447"/>
  <c r="M18" i="15"/>
  <c r="AN65" i="444"/>
  <c r="AJ65" i="445" s="1"/>
  <c r="AL65" i="445" s="1"/>
  <c r="AL65" i="446" s="1"/>
  <c r="AN65" i="446" s="1"/>
  <c r="AK65" i="447" s="1"/>
  <c r="AM65" i="447" s="1"/>
  <c r="AL65" i="448" s="1"/>
  <c r="AN65" i="448" s="1"/>
  <c r="AK65" i="449" s="1"/>
  <c r="AM65" i="449" s="1"/>
  <c r="AL65" i="450" s="1"/>
  <c r="AN65" i="450" s="1"/>
  <c r="AL65" i="451" s="1"/>
  <c r="AN65" i="451" s="1"/>
  <c r="AK65" i="452" s="1"/>
  <c r="AM65" i="452" s="1"/>
  <c r="AL65" i="453" s="1"/>
  <c r="AN65" i="453" s="1"/>
  <c r="AK65" i="454" s="1"/>
  <c r="AM65" i="454" s="1"/>
  <c r="AL65" i="455" s="1"/>
  <c r="AN65" i="455" s="1"/>
  <c r="M15" i="15"/>
  <c r="T7" i="448"/>
  <c r="D52" i="447"/>
  <c r="K52" i="447"/>
  <c r="P7" i="447"/>
  <c r="J52" i="446"/>
  <c r="W7" i="446"/>
  <c r="C52" i="446"/>
  <c r="M26" i="15"/>
  <c r="M22" i="15"/>
  <c r="M19" i="15"/>
  <c r="B77" i="450"/>
  <c r="B69" i="450" s="1"/>
  <c r="E76" i="452"/>
  <c r="C76" i="453"/>
  <c r="B77" i="453" s="1"/>
  <c r="B69" i="453" s="1"/>
  <c r="H76" i="451"/>
  <c r="B76" i="453"/>
  <c r="AL76" i="452" s="1"/>
  <c r="F77" i="451"/>
  <c r="F69" i="451" s="1"/>
  <c r="G76" i="454"/>
  <c r="F77" i="454" s="1"/>
  <c r="F69" i="454" s="1"/>
  <c r="J77" i="450"/>
  <c r="J69" i="450" s="1"/>
  <c r="J76" i="447"/>
  <c r="H77" i="455"/>
  <c r="H69" i="455" s="1"/>
  <c r="K77" i="455"/>
  <c r="K69" i="455" s="1"/>
  <c r="H77" i="448"/>
  <c r="H69" i="448" s="1"/>
  <c r="D76" i="449"/>
  <c r="H77" i="453"/>
  <c r="H69" i="453" s="1"/>
  <c r="D77" i="445"/>
  <c r="D69" i="445" s="1"/>
  <c r="K77" i="451"/>
  <c r="K69" i="451" s="1"/>
  <c r="C77" i="455"/>
  <c r="C69" i="455" s="1"/>
  <c r="K77" i="449"/>
  <c r="K69" i="449" s="1"/>
  <c r="D76" i="447"/>
  <c r="G77" i="444"/>
  <c r="G69" i="444" s="1"/>
  <c r="I77" i="447"/>
  <c r="I69" i="447" s="1"/>
  <c r="C76" i="455"/>
  <c r="K76" i="449"/>
  <c r="F76" i="454"/>
  <c r="H76" i="445"/>
  <c r="G77" i="445" s="1"/>
  <c r="G69" i="445" s="1"/>
  <c r="B69" i="449"/>
  <c r="B69" i="454"/>
  <c r="I76" i="447"/>
  <c r="M75" i="452"/>
  <c r="M76" i="452" s="1"/>
  <c r="L77" i="452" s="1"/>
  <c r="L69" i="452" s="1"/>
  <c r="E76" i="455"/>
  <c r="H76" i="455"/>
  <c r="G77" i="455" s="1"/>
  <c r="G69" i="455" s="1"/>
  <c r="J76" i="450"/>
  <c r="M75" i="449"/>
  <c r="N82" i="450"/>
  <c r="N73" i="450"/>
  <c r="M34" i="444"/>
  <c r="L81" i="444"/>
  <c r="H76" i="448"/>
  <c r="C77" i="454"/>
  <c r="C69" i="454" s="1"/>
  <c r="M75" i="444"/>
  <c r="K77" i="444"/>
  <c r="K69" i="444" s="1"/>
  <c r="N82" i="446"/>
  <c r="N53" i="446"/>
  <c r="N55" i="446" s="1"/>
  <c r="N52" i="446"/>
  <c r="N73" i="446"/>
  <c r="N73" i="455"/>
  <c r="N82" i="455"/>
  <c r="O12" i="444"/>
  <c r="P10" i="444"/>
  <c r="O11" i="444"/>
  <c r="O54" i="444" s="1"/>
  <c r="O9" i="444"/>
  <c r="O49" i="444"/>
  <c r="O68" i="444"/>
  <c r="O56" i="444"/>
  <c r="O12" i="453"/>
  <c r="P10" i="453"/>
  <c r="O11" i="453"/>
  <c r="O54" i="453" s="1"/>
  <c r="O9" i="453"/>
  <c r="O49" i="453"/>
  <c r="B77" i="455"/>
  <c r="O11" i="451"/>
  <c r="O54" i="451" s="1"/>
  <c r="O9" i="451"/>
  <c r="O12" i="451"/>
  <c r="P10" i="451"/>
  <c r="O49" i="451"/>
  <c r="E77" i="448"/>
  <c r="E69" i="448" s="1"/>
  <c r="F76" i="449"/>
  <c r="M75" i="454"/>
  <c r="M76" i="454" s="1"/>
  <c r="L77" i="454" s="1"/>
  <c r="L69" i="454" s="1"/>
  <c r="N82" i="448"/>
  <c r="N73" i="448"/>
  <c r="J77" i="452"/>
  <c r="J69" i="452" s="1"/>
  <c r="K53" i="446"/>
  <c r="K55" i="446" s="1"/>
  <c r="J53" i="446"/>
  <c r="J55" i="446" s="1"/>
  <c r="G53" i="446"/>
  <c r="G55" i="446" s="1"/>
  <c r="E53" i="446"/>
  <c r="E55" i="446" s="1"/>
  <c r="D53" i="446"/>
  <c r="D55" i="446" s="1"/>
  <c r="C53" i="446"/>
  <c r="C55" i="446" s="1"/>
  <c r="L53" i="446"/>
  <c r="L55" i="446" s="1"/>
  <c r="F53" i="446"/>
  <c r="F55" i="446" s="1"/>
  <c r="B53" i="446"/>
  <c r="I53" i="446"/>
  <c r="I55" i="446" s="1"/>
  <c r="H53" i="446"/>
  <c r="H55" i="446" s="1"/>
  <c r="K76" i="451"/>
  <c r="J77" i="451" s="1"/>
  <c r="J69" i="451" s="1"/>
  <c r="D77" i="454"/>
  <c r="D69" i="454" s="1"/>
  <c r="B77" i="452"/>
  <c r="I76" i="444"/>
  <c r="H77" i="444" s="1"/>
  <c r="G77" i="447"/>
  <c r="G69" i="447" s="1"/>
  <c r="B76" i="450"/>
  <c r="AL76" i="449" s="1"/>
  <c r="M75" i="446"/>
  <c r="M76" i="446" s="1"/>
  <c r="L77" i="446" s="1"/>
  <c r="L69" i="446" s="1"/>
  <c r="G76" i="446"/>
  <c r="N82" i="454"/>
  <c r="N73" i="454"/>
  <c r="M76" i="455"/>
  <c r="L77" i="455" s="1"/>
  <c r="L69" i="455" s="1"/>
  <c r="M75" i="455"/>
  <c r="L76" i="446"/>
  <c r="E76" i="451"/>
  <c r="K76" i="444"/>
  <c r="J77" i="444" s="1"/>
  <c r="J69" i="444" s="1"/>
  <c r="H77" i="450"/>
  <c r="H69" i="450" s="1"/>
  <c r="C77" i="446"/>
  <c r="C69" i="446" s="1"/>
  <c r="O11" i="445"/>
  <c r="O54" i="445" s="1"/>
  <c r="O9" i="445"/>
  <c r="O12" i="445"/>
  <c r="P10" i="445"/>
  <c r="O49" i="445"/>
  <c r="O11" i="455"/>
  <c r="O54" i="455" s="1"/>
  <c r="O9" i="455"/>
  <c r="O12" i="455"/>
  <c r="P10" i="455"/>
  <c r="O49" i="455"/>
  <c r="I77" i="448"/>
  <c r="I69" i="448" s="1"/>
  <c r="N82" i="453"/>
  <c r="N73" i="453"/>
  <c r="D77" i="444"/>
  <c r="D69" i="444" s="1"/>
  <c r="N82" i="452"/>
  <c r="N73" i="452"/>
  <c r="K77" i="454"/>
  <c r="K69" i="454" s="1"/>
  <c r="H77" i="447"/>
  <c r="H69" i="447" s="1"/>
  <c r="E77" i="445"/>
  <c r="E69" i="445" s="1"/>
  <c r="K77" i="452"/>
  <c r="K69" i="452" s="1"/>
  <c r="L53" i="447"/>
  <c r="L55" i="447" s="1"/>
  <c r="M53" i="447"/>
  <c r="M55" i="447" s="1"/>
  <c r="G53" i="447"/>
  <c r="G55" i="447" s="1"/>
  <c r="H53" i="447"/>
  <c r="H55" i="447" s="1"/>
  <c r="C53" i="447"/>
  <c r="C55" i="447" s="1"/>
  <c r="K53" i="447"/>
  <c r="K55" i="447" s="1"/>
  <c r="F53" i="447"/>
  <c r="F55" i="447" s="1"/>
  <c r="D53" i="447"/>
  <c r="D55" i="447" s="1"/>
  <c r="B53" i="447"/>
  <c r="I53" i="447"/>
  <c r="I55" i="447" s="1"/>
  <c r="J53" i="447"/>
  <c r="J55" i="447" s="1"/>
  <c r="E53" i="447"/>
  <c r="E55" i="447" s="1"/>
  <c r="F26" i="28"/>
  <c r="F22" i="28"/>
  <c r="F18" i="28"/>
  <c r="F27" i="28"/>
  <c r="F23" i="28"/>
  <c r="F19" i="28"/>
  <c r="F25" i="28"/>
  <c r="F21" i="28"/>
  <c r="F17" i="28"/>
  <c r="F28" i="28"/>
  <c r="F24" i="28"/>
  <c r="F20" i="28"/>
  <c r="L76" i="448"/>
  <c r="K77" i="448" s="1"/>
  <c r="K69" i="448" s="1"/>
  <c r="G77" i="448"/>
  <c r="G69" i="448" s="1"/>
  <c r="D76" i="450"/>
  <c r="C77" i="450" s="1"/>
  <c r="K76" i="455"/>
  <c r="D76" i="445"/>
  <c r="C77" i="445" s="1"/>
  <c r="C77" i="447"/>
  <c r="C69" i="447" s="1"/>
  <c r="G76" i="453"/>
  <c r="F77" i="453" s="1"/>
  <c r="F69" i="453" s="1"/>
  <c r="J76" i="453"/>
  <c r="O12" i="454"/>
  <c r="O11" i="454"/>
  <c r="O54" i="454" s="1"/>
  <c r="P10" i="454"/>
  <c r="O9" i="454"/>
  <c r="O49" i="454"/>
  <c r="F76" i="451"/>
  <c r="E77" i="451" s="1"/>
  <c r="K77" i="445"/>
  <c r="K69" i="445" s="1"/>
  <c r="L76" i="450"/>
  <c r="K77" i="450" s="1"/>
  <c r="K69" i="450" s="1"/>
  <c r="B69" i="448"/>
  <c r="L76" i="453"/>
  <c r="K77" i="453" s="1"/>
  <c r="K69" i="453" s="1"/>
  <c r="H76" i="450"/>
  <c r="G77" i="450" s="1"/>
  <c r="G69" i="450" s="1"/>
  <c r="E77" i="449"/>
  <c r="E69" i="449" s="1"/>
  <c r="D77" i="455"/>
  <c r="D69" i="455" s="1"/>
  <c r="I77" i="455"/>
  <c r="I69" i="455" s="1"/>
  <c r="F76" i="453"/>
  <c r="E77" i="453" s="1"/>
  <c r="E69" i="453" s="1"/>
  <c r="C76" i="446"/>
  <c r="B77" i="446" s="1"/>
  <c r="N73" i="445"/>
  <c r="N52" i="445"/>
  <c r="N82" i="445"/>
  <c r="N53" i="445"/>
  <c r="N55" i="445" s="1"/>
  <c r="O82" i="447"/>
  <c r="O53" i="447"/>
  <c r="O55" i="447" s="1"/>
  <c r="O73" i="447"/>
  <c r="C52" i="444"/>
  <c r="J52" i="444"/>
  <c r="G77" i="451"/>
  <c r="G69" i="451" s="1"/>
  <c r="N73" i="444"/>
  <c r="N53" i="444"/>
  <c r="N55" i="444" s="1"/>
  <c r="N52" i="444"/>
  <c r="N82" i="444"/>
  <c r="M75" i="448"/>
  <c r="K76" i="453"/>
  <c r="J77" i="453" s="1"/>
  <c r="J69" i="453" s="1"/>
  <c r="H76" i="453"/>
  <c r="G77" i="453" s="1"/>
  <c r="G69" i="453" s="1"/>
  <c r="D76" i="444"/>
  <c r="C77" i="444" s="1"/>
  <c r="C69" i="444" s="1"/>
  <c r="O11" i="452"/>
  <c r="O54" i="452" s="1"/>
  <c r="P10" i="452"/>
  <c r="O12" i="452"/>
  <c r="O9" i="452"/>
  <c r="O49" i="452"/>
  <c r="N82" i="451"/>
  <c r="N73" i="451"/>
  <c r="E76" i="448"/>
  <c r="D77" i="448" s="1"/>
  <c r="D69" i="448" s="1"/>
  <c r="D77" i="451"/>
  <c r="D69" i="451" s="1"/>
  <c r="K76" i="454"/>
  <c r="J77" i="454" s="1"/>
  <c r="J69" i="454" s="1"/>
  <c r="I77" i="449"/>
  <c r="I69" i="449" s="1"/>
  <c r="O12" i="449"/>
  <c r="O11" i="449"/>
  <c r="O54" i="449" s="1"/>
  <c r="P10" i="449"/>
  <c r="O9" i="449"/>
  <c r="O49" i="449"/>
  <c r="N82" i="449"/>
  <c r="N73" i="449"/>
  <c r="M75" i="450"/>
  <c r="M76" i="450" s="1"/>
  <c r="L77" i="450" s="1"/>
  <c r="L69" i="450" s="1"/>
  <c r="B69" i="451"/>
  <c r="B77" i="447"/>
  <c r="J76" i="452"/>
  <c r="I77" i="452" s="1"/>
  <c r="I69" i="452" s="1"/>
  <c r="D77" i="446"/>
  <c r="D69" i="446" s="1"/>
  <c r="L66" i="444"/>
  <c r="E66" i="444"/>
  <c r="C66" i="444"/>
  <c r="F66" i="444"/>
  <c r="B66" i="444"/>
  <c r="M66" i="444"/>
  <c r="F77" i="446"/>
  <c r="F69" i="446" s="1"/>
  <c r="O11" i="450"/>
  <c r="O54" i="450" s="1"/>
  <c r="O9" i="450"/>
  <c r="O12" i="450"/>
  <c r="P10" i="450"/>
  <c r="O49" i="450"/>
  <c r="F77" i="448"/>
  <c r="F69" i="448" s="1"/>
  <c r="F77" i="445"/>
  <c r="F69" i="445" s="1"/>
  <c r="J77" i="455"/>
  <c r="J69" i="455" s="1"/>
  <c r="M75" i="445"/>
  <c r="M76" i="445" s="1"/>
  <c r="L77" i="445" s="1"/>
  <c r="L69" i="445" s="1"/>
  <c r="I77" i="450"/>
  <c r="I69" i="450" s="1"/>
  <c r="H77" i="452"/>
  <c r="H69" i="452" s="1"/>
  <c r="C77" i="449"/>
  <c r="C69" i="449" s="1"/>
  <c r="M75" i="453"/>
  <c r="K77" i="446"/>
  <c r="K69" i="446" s="1"/>
  <c r="M75" i="451"/>
  <c r="M76" i="451" s="1"/>
  <c r="L77" i="451" s="1"/>
  <c r="L69" i="451" s="1"/>
  <c r="O12" i="446"/>
  <c r="P10" i="446"/>
  <c r="O11" i="446"/>
  <c r="O54" i="446" s="1"/>
  <c r="O9" i="446"/>
  <c r="O49" i="446"/>
  <c r="N75" i="447"/>
  <c r="N76" i="447" s="1"/>
  <c r="M77" i="447" s="1"/>
  <c r="M69" i="447" s="1"/>
  <c r="P11" i="447"/>
  <c r="P54" i="447" s="1"/>
  <c r="Q10" i="447"/>
  <c r="P12" i="447"/>
  <c r="P9" i="447"/>
  <c r="P49" i="447"/>
  <c r="E77" i="446"/>
  <c r="E69" i="446" s="1"/>
  <c r="J77" i="449"/>
  <c r="J69" i="449" s="1"/>
  <c r="I77" i="453"/>
  <c r="I69" i="453" s="1"/>
  <c r="E77" i="454"/>
  <c r="E69" i="454" s="1"/>
  <c r="C77" i="452"/>
  <c r="C69" i="452" s="1"/>
  <c r="D77" i="452"/>
  <c r="D69" i="452" s="1"/>
  <c r="B69" i="444"/>
  <c r="O11" i="448"/>
  <c r="O54" i="448" s="1"/>
  <c r="O9" i="448"/>
  <c r="O12" i="448"/>
  <c r="P10" i="448"/>
  <c r="O49" i="448"/>
  <c r="J77" i="446"/>
  <c r="J69" i="446" s="1"/>
  <c r="E20" i="28"/>
  <c r="B32" i="28"/>
  <c r="B15" i="28"/>
  <c r="D13" i="28"/>
  <c r="D11" i="28"/>
  <c r="D14" i="28"/>
  <c r="G19" i="28"/>
  <c r="G17" i="28"/>
  <c r="H8" i="28"/>
  <c r="G18" i="28"/>
  <c r="G20" i="28"/>
  <c r="F9" i="28"/>
  <c r="F13" i="28" s="1"/>
  <c r="D34" i="28"/>
  <c r="D31" i="28"/>
  <c r="D30" i="28"/>
  <c r="J16" i="1"/>
  <c r="V3" i="447" s="1"/>
  <c r="D18" i="15"/>
  <c r="H17" i="1"/>
  <c r="V2" i="448" s="1"/>
  <c r="N53" i="448" s="1"/>
  <c r="N55" i="448" s="1"/>
  <c r="C20" i="28"/>
  <c r="P7" i="448" l="1"/>
  <c r="G52" i="447"/>
  <c r="N52" i="447"/>
  <c r="AN65" i="454"/>
  <c r="AO65" i="450"/>
  <c r="AO65" i="446"/>
  <c r="AO65" i="453"/>
  <c r="AN65" i="449"/>
  <c r="AO65" i="444"/>
  <c r="AN65" i="452"/>
  <c r="AO65" i="448"/>
  <c r="AM65" i="445"/>
  <c r="AO65" i="455"/>
  <c r="AO65" i="451"/>
  <c r="AN65" i="447"/>
  <c r="M27" i="15"/>
  <c r="M31" i="15"/>
  <c r="J66" i="445"/>
  <c r="I66" i="445"/>
  <c r="B66" i="445"/>
  <c r="C66" i="445"/>
  <c r="R7" i="448"/>
  <c r="B52" i="447"/>
  <c r="I52" i="447"/>
  <c r="U7" i="449"/>
  <c r="C52" i="448"/>
  <c r="J52" i="448"/>
  <c r="D52" i="446"/>
  <c r="Q7" i="447"/>
  <c r="K52" i="446"/>
  <c r="M32" i="15"/>
  <c r="F52" i="450"/>
  <c r="V7" i="451"/>
  <c r="M52" i="450"/>
  <c r="H66" i="446"/>
  <c r="B66" i="446"/>
  <c r="I66" i="446"/>
  <c r="F52" i="446"/>
  <c r="S7" i="447"/>
  <c r="M52" i="446"/>
  <c r="T7" i="449"/>
  <c r="I52" i="448"/>
  <c r="B52" i="448"/>
  <c r="C69" i="450"/>
  <c r="E69" i="451"/>
  <c r="H69" i="444"/>
  <c r="H27" i="28"/>
  <c r="H23" i="28"/>
  <c r="H19" i="28"/>
  <c r="H28" i="28"/>
  <c r="H24" i="28"/>
  <c r="H20" i="28"/>
  <c r="I20" i="28" s="1"/>
  <c r="H26" i="28"/>
  <c r="H22" i="28"/>
  <c r="H18" i="28"/>
  <c r="H25" i="28"/>
  <c r="H21" i="28"/>
  <c r="H17" i="28"/>
  <c r="P11" i="448"/>
  <c r="P54" i="448" s="1"/>
  <c r="P9" i="448"/>
  <c r="P12" i="448"/>
  <c r="Q10" i="448"/>
  <c r="P49" i="448"/>
  <c r="P53" i="447"/>
  <c r="P55" i="447" s="1"/>
  <c r="P73" i="447"/>
  <c r="P82" i="447"/>
  <c r="P52" i="447"/>
  <c r="O82" i="446"/>
  <c r="O73" i="446"/>
  <c r="O53" i="446"/>
  <c r="O55" i="446" s="1"/>
  <c r="O52" i="446"/>
  <c r="O66" i="446" s="1"/>
  <c r="P11" i="450"/>
  <c r="P54" i="450" s="1"/>
  <c r="P9" i="450"/>
  <c r="P12" i="450"/>
  <c r="Q10" i="450"/>
  <c r="P49" i="450"/>
  <c r="B69" i="447"/>
  <c r="P11" i="449"/>
  <c r="P54" i="449" s="1"/>
  <c r="Q10" i="449"/>
  <c r="P12" i="449"/>
  <c r="P9" i="449"/>
  <c r="P49" i="449"/>
  <c r="O73" i="452"/>
  <c r="O82" i="452"/>
  <c r="N75" i="444"/>
  <c r="P12" i="445"/>
  <c r="Q10" i="445"/>
  <c r="P11" i="445"/>
  <c r="P54" i="445" s="1"/>
  <c r="P9" i="445"/>
  <c r="P49" i="445"/>
  <c r="P12" i="451"/>
  <c r="Q10" i="451"/>
  <c r="P11" i="451"/>
  <c r="P54" i="451" s="1"/>
  <c r="P9" i="451"/>
  <c r="P49" i="451"/>
  <c r="O73" i="453"/>
  <c r="O82" i="453"/>
  <c r="N75" i="455"/>
  <c r="N76" i="455" s="1"/>
  <c r="M77" i="455" s="1"/>
  <c r="K53" i="448"/>
  <c r="K55" i="448" s="1"/>
  <c r="G53" i="448"/>
  <c r="G55" i="448" s="1"/>
  <c r="L53" i="448"/>
  <c r="L55" i="448" s="1"/>
  <c r="J53" i="448"/>
  <c r="J55" i="448" s="1"/>
  <c r="H53" i="448"/>
  <c r="H55" i="448" s="1"/>
  <c r="F53" i="448"/>
  <c r="F55" i="448" s="1"/>
  <c r="E53" i="448"/>
  <c r="E55" i="448" s="1"/>
  <c r="D53" i="448"/>
  <c r="D55" i="448" s="1"/>
  <c r="C53" i="448"/>
  <c r="C55" i="448" s="1"/>
  <c r="B53" i="448"/>
  <c r="I53" i="448"/>
  <c r="I55" i="448" s="1"/>
  <c r="M53" i="448"/>
  <c r="M55" i="448" s="1"/>
  <c r="O82" i="448"/>
  <c r="O73" i="448"/>
  <c r="O53" i="448"/>
  <c r="O55" i="448" s="1"/>
  <c r="O73" i="450"/>
  <c r="O82" i="450"/>
  <c r="N75" i="451"/>
  <c r="N76" i="451" s="1"/>
  <c r="M77" i="451" s="1"/>
  <c r="O75" i="447"/>
  <c r="O76" i="447" s="1"/>
  <c r="N77" i="447" s="1"/>
  <c r="N69" i="447" s="1"/>
  <c r="O82" i="454"/>
  <c r="O73" i="454"/>
  <c r="P11" i="455"/>
  <c r="P54" i="455" s="1"/>
  <c r="P9" i="455"/>
  <c r="P12" i="455"/>
  <c r="Q10" i="455"/>
  <c r="P49" i="455"/>
  <c r="O73" i="445"/>
  <c r="O52" i="445"/>
  <c r="O82" i="445"/>
  <c r="O53" i="445"/>
  <c r="O55" i="445" s="1"/>
  <c r="B69" i="452"/>
  <c r="B55" i="446"/>
  <c r="N75" i="448"/>
  <c r="O82" i="451"/>
  <c r="O73" i="451"/>
  <c r="P11" i="444"/>
  <c r="P54" i="444" s="1"/>
  <c r="P9" i="444"/>
  <c r="P12" i="444"/>
  <c r="Q10" i="444"/>
  <c r="P49" i="444"/>
  <c r="P68" i="444"/>
  <c r="P56" i="444"/>
  <c r="N75" i="450"/>
  <c r="N76" i="450" s="1"/>
  <c r="M77" i="450" s="1"/>
  <c r="B70" i="444"/>
  <c r="B79" i="444" s="1"/>
  <c r="Q11" i="447"/>
  <c r="Q54" i="447" s="1"/>
  <c r="Q12" i="447"/>
  <c r="Q9" i="447"/>
  <c r="R10" i="447"/>
  <c r="Q49" i="447"/>
  <c r="P11" i="452"/>
  <c r="P54" i="452" s="1"/>
  <c r="Q10" i="452"/>
  <c r="P12" i="452"/>
  <c r="P9" i="452"/>
  <c r="P49" i="452"/>
  <c r="N75" i="445"/>
  <c r="N76" i="445" s="1"/>
  <c r="M77" i="445" s="1"/>
  <c r="C69" i="445"/>
  <c r="N75" i="452"/>
  <c r="N76" i="452" s="1"/>
  <c r="M77" i="452" s="1"/>
  <c r="O82" i="455"/>
  <c r="O73" i="455"/>
  <c r="N75" i="454"/>
  <c r="N76" i="454" s="1"/>
  <c r="M77" i="454" s="1"/>
  <c r="M69" i="454" s="1"/>
  <c r="B69" i="455"/>
  <c r="O82" i="444"/>
  <c r="O73" i="444"/>
  <c r="O53" i="444"/>
  <c r="O55" i="444" s="1"/>
  <c r="O52" i="444"/>
  <c r="N75" i="446"/>
  <c r="N76" i="446" s="1"/>
  <c r="M77" i="446" s="1"/>
  <c r="M69" i="446" s="1"/>
  <c r="M81" i="444"/>
  <c r="N34" i="444"/>
  <c r="M76" i="449"/>
  <c r="L77" i="449" s="1"/>
  <c r="L69" i="449" s="1"/>
  <c r="P11" i="446"/>
  <c r="P54" i="446" s="1"/>
  <c r="P9" i="446"/>
  <c r="P12" i="446"/>
  <c r="Q10" i="446"/>
  <c r="P49" i="446"/>
  <c r="M76" i="453"/>
  <c r="L77" i="453" s="1"/>
  <c r="L69" i="453" s="1"/>
  <c r="N75" i="449"/>
  <c r="N76" i="449" s="1"/>
  <c r="M77" i="449" s="1"/>
  <c r="M69" i="449" s="1"/>
  <c r="O73" i="449"/>
  <c r="O52" i="449"/>
  <c r="O82" i="449"/>
  <c r="O53" i="449"/>
  <c r="O55" i="449" s="1"/>
  <c r="M76" i="448"/>
  <c r="L77" i="448" s="1"/>
  <c r="L69" i="448" s="1"/>
  <c r="B69" i="446"/>
  <c r="P11" i="454"/>
  <c r="P54" i="454" s="1"/>
  <c r="Q10" i="454"/>
  <c r="P12" i="454"/>
  <c r="P9" i="454"/>
  <c r="P49" i="454"/>
  <c r="B55" i="447"/>
  <c r="N75" i="453"/>
  <c r="P11" i="453"/>
  <c r="P54" i="453" s="1"/>
  <c r="P9" i="453"/>
  <c r="P12" i="453"/>
  <c r="Q10" i="453"/>
  <c r="P49" i="453"/>
  <c r="M76" i="444"/>
  <c r="L77" i="444" s="1"/>
  <c r="L69" i="444" s="1"/>
  <c r="I21" i="28"/>
  <c r="H9" i="28"/>
  <c r="H14" i="28" s="1"/>
  <c r="J8" i="28"/>
  <c r="I17" i="28"/>
  <c r="F12" i="28"/>
  <c r="D32" i="28"/>
  <c r="F11" i="28"/>
  <c r="I19" i="28"/>
  <c r="I18" i="28"/>
  <c r="F30" i="28"/>
  <c r="F34" i="28"/>
  <c r="F31" i="28"/>
  <c r="F14" i="28"/>
  <c r="D15" i="28"/>
  <c r="J17" i="1"/>
  <c r="V3" i="448" s="1"/>
  <c r="H18" i="1"/>
  <c r="V2" i="449" s="1"/>
  <c r="D19" i="15"/>
  <c r="C21" i="28"/>
  <c r="E21" i="28"/>
  <c r="G21" i="28"/>
  <c r="F52" i="449" l="1"/>
  <c r="T7" i="450"/>
  <c r="M52" i="449"/>
  <c r="V7" i="452"/>
  <c r="J52" i="451"/>
  <c r="C52" i="451"/>
  <c r="H52" i="447"/>
  <c r="Q7" i="448"/>
  <c r="O52" i="447"/>
  <c r="G52" i="449"/>
  <c r="U7" i="450"/>
  <c r="N52" i="449"/>
  <c r="W7" i="447"/>
  <c r="G52" i="448"/>
  <c r="R7" i="449"/>
  <c r="N52" i="448"/>
  <c r="S7" i="448"/>
  <c r="J52" i="447"/>
  <c r="C52" i="447"/>
  <c r="AO65" i="452"/>
  <c r="AP65" i="448"/>
  <c r="AN65" i="445"/>
  <c r="AP65" i="455"/>
  <c r="AP65" i="451"/>
  <c r="AO65" i="447"/>
  <c r="AO65" i="454"/>
  <c r="AP65" i="450"/>
  <c r="AP65" i="446"/>
  <c r="AP65" i="453"/>
  <c r="AO65" i="449"/>
  <c r="AP65" i="444"/>
  <c r="M28" i="15"/>
  <c r="M29" i="15" s="1"/>
  <c r="P7" i="449"/>
  <c r="L52" i="448"/>
  <c r="W7" i="448"/>
  <c r="E52" i="448"/>
  <c r="M69" i="450"/>
  <c r="M69" i="445"/>
  <c r="M69" i="452"/>
  <c r="M69" i="451"/>
  <c r="M69" i="455"/>
  <c r="J9" i="28"/>
  <c r="J28" i="28"/>
  <c r="J24" i="28"/>
  <c r="J20" i="28"/>
  <c r="J25" i="28"/>
  <c r="J21" i="28"/>
  <c r="J17" i="28"/>
  <c r="J27" i="28"/>
  <c r="J23" i="28"/>
  <c r="J19" i="28"/>
  <c r="J26" i="28"/>
  <c r="J22" i="28"/>
  <c r="J18" i="28"/>
  <c r="K53" i="449"/>
  <c r="K55" i="449" s="1"/>
  <c r="G53" i="449"/>
  <c r="G55" i="449" s="1"/>
  <c r="J53" i="449"/>
  <c r="J55" i="449" s="1"/>
  <c r="C53" i="449"/>
  <c r="C55" i="449" s="1"/>
  <c r="B53" i="449"/>
  <c r="I53" i="449"/>
  <c r="I55" i="449" s="1"/>
  <c r="H53" i="449"/>
  <c r="H55" i="449" s="1"/>
  <c r="D53" i="449"/>
  <c r="D55" i="449" s="1"/>
  <c r="L53" i="449"/>
  <c r="L55" i="449" s="1"/>
  <c r="E53" i="449"/>
  <c r="E55" i="449" s="1"/>
  <c r="F53" i="449"/>
  <c r="F55" i="449" s="1"/>
  <c r="M53" i="449"/>
  <c r="M55" i="449" s="1"/>
  <c r="N53" i="449"/>
  <c r="N55" i="449" s="1"/>
  <c r="P82" i="453"/>
  <c r="P73" i="453"/>
  <c r="N76" i="453"/>
  <c r="M77" i="453" s="1"/>
  <c r="Q11" i="454"/>
  <c r="Q54" i="454" s="1"/>
  <c r="Q12" i="454"/>
  <c r="Q9" i="454"/>
  <c r="R10" i="454"/>
  <c r="Q49" i="454"/>
  <c r="Q49" i="446"/>
  <c r="Q11" i="446"/>
  <c r="Q54" i="446" s="1"/>
  <c r="Q9" i="446"/>
  <c r="Q12" i="446"/>
  <c r="R10" i="446"/>
  <c r="O34" i="444"/>
  <c r="N81" i="444"/>
  <c r="P73" i="452"/>
  <c r="P82" i="452"/>
  <c r="Q73" i="447"/>
  <c r="Q82" i="447"/>
  <c r="Q52" i="447"/>
  <c r="Q53" i="447"/>
  <c r="Q12" i="444"/>
  <c r="R10" i="444"/>
  <c r="Q9" i="444"/>
  <c r="Q11" i="444"/>
  <c r="Q54" i="444" s="1"/>
  <c r="Q49" i="444"/>
  <c r="Q56" i="444"/>
  <c r="Q68" i="444"/>
  <c r="Q12" i="450"/>
  <c r="R10" i="450"/>
  <c r="Q11" i="450"/>
  <c r="Q54" i="450" s="1"/>
  <c r="Q9" i="450"/>
  <c r="Q49" i="450"/>
  <c r="Q11" i="448"/>
  <c r="Q54" i="448" s="1"/>
  <c r="Q9" i="448"/>
  <c r="Q12" i="448"/>
  <c r="R10" i="448"/>
  <c r="Q49" i="448"/>
  <c r="O75" i="449"/>
  <c r="O76" i="449" s="1"/>
  <c r="N77" i="449" s="1"/>
  <c r="N69" i="449" s="1"/>
  <c r="P82" i="446"/>
  <c r="P73" i="446"/>
  <c r="P53" i="446"/>
  <c r="P52" i="446"/>
  <c r="P66" i="446" s="1"/>
  <c r="P82" i="444"/>
  <c r="P73" i="444"/>
  <c r="P53" i="444"/>
  <c r="P52" i="444"/>
  <c r="Q11" i="455"/>
  <c r="Q54" i="455" s="1"/>
  <c r="Q12" i="455"/>
  <c r="R10" i="455"/>
  <c r="Q9" i="455"/>
  <c r="Q49" i="455"/>
  <c r="O75" i="448"/>
  <c r="O76" i="448" s="1"/>
  <c r="N77" i="448" s="1"/>
  <c r="N69" i="448" s="1"/>
  <c r="O75" i="452"/>
  <c r="O76" i="452" s="1"/>
  <c r="N77" i="452" s="1"/>
  <c r="P82" i="449"/>
  <c r="P53" i="449"/>
  <c r="P55" i="449" s="1"/>
  <c r="P73" i="449"/>
  <c r="P52" i="449"/>
  <c r="P82" i="450"/>
  <c r="P73" i="450"/>
  <c r="O75" i="446"/>
  <c r="O76" i="446" s="1"/>
  <c r="N77" i="446" s="1"/>
  <c r="N69" i="446" s="1"/>
  <c r="P73" i="448"/>
  <c r="P53" i="448"/>
  <c r="P55" i="448" s="1"/>
  <c r="P52" i="448"/>
  <c r="P82" i="448"/>
  <c r="Q12" i="452"/>
  <c r="Q9" i="452"/>
  <c r="Q11" i="452"/>
  <c r="Q54" i="452" s="1"/>
  <c r="R10" i="452"/>
  <c r="Q49" i="452"/>
  <c r="R12" i="447"/>
  <c r="R9" i="447"/>
  <c r="R11" i="447"/>
  <c r="R54" i="447" s="1"/>
  <c r="S10" i="447"/>
  <c r="R49" i="447"/>
  <c r="O75" i="451"/>
  <c r="N76" i="448"/>
  <c r="M77" i="448" s="1"/>
  <c r="M69" i="448" s="1"/>
  <c r="P82" i="455"/>
  <c r="P73" i="455"/>
  <c r="O75" i="454"/>
  <c r="O76" i="454" s="1"/>
  <c r="N77" i="454" s="1"/>
  <c r="C70" i="444"/>
  <c r="O75" i="450"/>
  <c r="B55" i="448"/>
  <c r="O75" i="453"/>
  <c r="O76" i="453" s="1"/>
  <c r="N77" i="453" s="1"/>
  <c r="Q11" i="451"/>
  <c r="Q54" i="451" s="1"/>
  <c r="Q12" i="451"/>
  <c r="R10" i="451"/>
  <c r="Q9" i="451"/>
  <c r="Q49" i="451"/>
  <c r="Q12" i="445"/>
  <c r="R10" i="445"/>
  <c r="Q11" i="445"/>
  <c r="Q54" i="445" s="1"/>
  <c r="Q9" i="445"/>
  <c r="Q49" i="445"/>
  <c r="N76" i="444"/>
  <c r="M77" i="444" s="1"/>
  <c r="M69" i="444" s="1"/>
  <c r="Q11" i="449"/>
  <c r="Q54" i="449" s="1"/>
  <c r="Q12" i="449"/>
  <c r="Q9" i="449"/>
  <c r="R10" i="449"/>
  <c r="Q49" i="449"/>
  <c r="P75" i="447"/>
  <c r="P76" i="447" s="1"/>
  <c r="O77" i="447" s="1"/>
  <c r="Q11" i="453"/>
  <c r="Q54" i="453" s="1"/>
  <c r="Q12" i="453"/>
  <c r="R10" i="453"/>
  <c r="Q9" i="453"/>
  <c r="Q49" i="453"/>
  <c r="P73" i="454"/>
  <c r="P82" i="454"/>
  <c r="O75" i="444"/>
  <c r="O76" i="444" s="1"/>
  <c r="N77" i="444" s="1"/>
  <c r="O75" i="455"/>
  <c r="O76" i="455" s="1"/>
  <c r="N77" i="455" s="1"/>
  <c r="O75" i="445"/>
  <c r="P82" i="451"/>
  <c r="P73" i="451"/>
  <c r="P82" i="445"/>
  <c r="P53" i="445"/>
  <c r="P55" i="445" s="1"/>
  <c r="P73" i="445"/>
  <c r="P52" i="445"/>
  <c r="P66" i="445" s="1"/>
  <c r="I22" i="28"/>
  <c r="K18" i="28"/>
  <c r="K19" i="28"/>
  <c r="K22" i="28"/>
  <c r="H11" i="28"/>
  <c r="H13" i="28"/>
  <c r="H12" i="28"/>
  <c r="K21" i="28"/>
  <c r="K17" i="28"/>
  <c r="L8" i="28"/>
  <c r="K20" i="28"/>
  <c r="F32" i="28"/>
  <c r="F15" i="28"/>
  <c r="H31" i="28"/>
  <c r="H30" i="28"/>
  <c r="H34" i="28"/>
  <c r="J18" i="1"/>
  <c r="V3" i="449" s="1"/>
  <c r="H19" i="1"/>
  <c r="V2" i="450" s="1"/>
  <c r="D20" i="15"/>
  <c r="C22" i="28"/>
  <c r="E22" i="28"/>
  <c r="G22" i="28"/>
  <c r="J11" i="28"/>
  <c r="J13" i="28"/>
  <c r="J14" i="28"/>
  <c r="J12" i="28"/>
  <c r="E52" i="450" l="1"/>
  <c r="U7" i="451"/>
  <c r="L52" i="450"/>
  <c r="P7" i="450"/>
  <c r="B52" i="449"/>
  <c r="I52" i="449"/>
  <c r="D52" i="449"/>
  <c r="R7" i="450"/>
  <c r="K52" i="449"/>
  <c r="H52" i="448"/>
  <c r="S7" i="449"/>
  <c r="O52" i="448"/>
  <c r="E66" i="447"/>
  <c r="M66" i="447"/>
  <c r="L66" i="447"/>
  <c r="K66" i="447"/>
  <c r="N66" i="447"/>
  <c r="F66" i="447"/>
  <c r="D52" i="450"/>
  <c r="T7" i="451"/>
  <c r="K52" i="450"/>
  <c r="J66" i="448"/>
  <c r="D66" i="448"/>
  <c r="C66" i="448"/>
  <c r="K66" i="448"/>
  <c r="B66" i="448"/>
  <c r="F52" i="448"/>
  <c r="Q7" i="449"/>
  <c r="M52" i="448"/>
  <c r="G52" i="452"/>
  <c r="V7" i="453"/>
  <c r="N52" i="452"/>
  <c r="N69" i="444"/>
  <c r="N69" i="454"/>
  <c r="N69" i="453"/>
  <c r="N69" i="452"/>
  <c r="N69" i="455"/>
  <c r="O69" i="447"/>
  <c r="P75" i="445"/>
  <c r="P76" i="445" s="1"/>
  <c r="O77" i="445" s="1"/>
  <c r="O69" i="445" s="1"/>
  <c r="Q82" i="449"/>
  <c r="Q73" i="449"/>
  <c r="Q52" i="449"/>
  <c r="Q53" i="449"/>
  <c r="Q55" i="449" s="1"/>
  <c r="S12" i="447"/>
  <c r="S11" i="447"/>
  <c r="S54" i="447" s="1"/>
  <c r="T10" i="447"/>
  <c r="S9" i="447"/>
  <c r="S49" i="447"/>
  <c r="R82" i="447"/>
  <c r="R52" i="447"/>
  <c r="R53" i="447"/>
  <c r="R55" i="447" s="1"/>
  <c r="R73" i="447"/>
  <c r="P75" i="450"/>
  <c r="P76" i="450" s="1"/>
  <c r="O77" i="450" s="1"/>
  <c r="O69" i="450" s="1"/>
  <c r="P55" i="444"/>
  <c r="Q82" i="444"/>
  <c r="Q73" i="444"/>
  <c r="Q53" i="444"/>
  <c r="Q55" i="444" s="1"/>
  <c r="Q52" i="444"/>
  <c r="R11" i="446"/>
  <c r="R54" i="446" s="1"/>
  <c r="R9" i="446"/>
  <c r="R12" i="446"/>
  <c r="S10" i="446"/>
  <c r="R49" i="446"/>
  <c r="Q82" i="454"/>
  <c r="Q73" i="454"/>
  <c r="M69" i="453"/>
  <c r="L53" i="450"/>
  <c r="L55" i="450" s="1"/>
  <c r="H53" i="450"/>
  <c r="H55" i="450" s="1"/>
  <c r="E53" i="450"/>
  <c r="E55" i="450" s="1"/>
  <c r="D53" i="450"/>
  <c r="D55" i="450" s="1"/>
  <c r="F53" i="450"/>
  <c r="F55" i="450" s="1"/>
  <c r="C53" i="450"/>
  <c r="C55" i="450" s="1"/>
  <c r="B53" i="450"/>
  <c r="J53" i="450"/>
  <c r="J55" i="450" s="1"/>
  <c r="I53" i="450"/>
  <c r="I55" i="450" s="1"/>
  <c r="G53" i="450"/>
  <c r="G55" i="450" s="1"/>
  <c r="K53" i="450"/>
  <c r="K55" i="450" s="1"/>
  <c r="M53" i="450"/>
  <c r="M55" i="450" s="1"/>
  <c r="N53" i="450"/>
  <c r="N55" i="450" s="1"/>
  <c r="O53" i="450"/>
  <c r="O55" i="450" s="1"/>
  <c r="P75" i="454"/>
  <c r="P76" i="454" s="1"/>
  <c r="O77" i="454" s="1"/>
  <c r="O69" i="454" s="1"/>
  <c r="R12" i="449"/>
  <c r="R9" i="449"/>
  <c r="R11" i="449"/>
  <c r="R54" i="449" s="1"/>
  <c r="S10" i="449"/>
  <c r="R49" i="449"/>
  <c r="R12" i="445"/>
  <c r="S10" i="445"/>
  <c r="R11" i="445"/>
  <c r="R54" i="445" s="1"/>
  <c r="R9" i="445"/>
  <c r="R49" i="445"/>
  <c r="R11" i="451"/>
  <c r="R54" i="451" s="1"/>
  <c r="R9" i="451"/>
  <c r="R12" i="451"/>
  <c r="S10" i="451"/>
  <c r="R49" i="451"/>
  <c r="P75" i="455"/>
  <c r="P76" i="455" s="1"/>
  <c r="O77" i="455" s="1"/>
  <c r="P75" i="448"/>
  <c r="P75" i="449"/>
  <c r="P76" i="449" s="1"/>
  <c r="O77" i="449" s="1"/>
  <c r="R12" i="455"/>
  <c r="R11" i="455"/>
  <c r="R54" i="455" s="1"/>
  <c r="R9" i="455"/>
  <c r="S10" i="455"/>
  <c r="R49" i="455"/>
  <c r="P75" i="444"/>
  <c r="P76" i="444" s="1"/>
  <c r="O77" i="444" s="1"/>
  <c r="P55" i="446"/>
  <c r="R12" i="448"/>
  <c r="S10" i="448"/>
  <c r="R11" i="448"/>
  <c r="R54" i="448" s="1"/>
  <c r="R9" i="448"/>
  <c r="R49" i="448"/>
  <c r="R11" i="450"/>
  <c r="R54" i="450" s="1"/>
  <c r="R12" i="450"/>
  <c r="S10" i="450"/>
  <c r="R9" i="450"/>
  <c r="R49" i="450"/>
  <c r="Q73" i="446"/>
  <c r="Q82" i="446"/>
  <c r="Q53" i="446"/>
  <c r="Q55" i="446" s="1"/>
  <c r="Q52" i="446"/>
  <c r="L25" i="28"/>
  <c r="L21" i="28"/>
  <c r="L17" i="28"/>
  <c r="L28" i="28"/>
  <c r="L24" i="28"/>
  <c r="L26" i="28"/>
  <c r="L22" i="28"/>
  <c r="L18" i="28"/>
  <c r="L20" i="28"/>
  <c r="M20" i="28" s="1"/>
  <c r="L27" i="28"/>
  <c r="L23" i="28"/>
  <c r="L19" i="28"/>
  <c r="P75" i="451"/>
  <c r="P76" i="451" s="1"/>
  <c r="O77" i="451" s="1"/>
  <c r="O69" i="451" s="1"/>
  <c r="O76" i="445"/>
  <c r="N77" i="445" s="1"/>
  <c r="R11" i="453"/>
  <c r="R54" i="453" s="1"/>
  <c r="R9" i="453"/>
  <c r="R12" i="453"/>
  <c r="S10" i="453"/>
  <c r="R49" i="453"/>
  <c r="Q53" i="445"/>
  <c r="Q55" i="445" s="1"/>
  <c r="Q73" i="445"/>
  <c r="Q52" i="445"/>
  <c r="Q66" i="445" s="1"/>
  <c r="Q82" i="445"/>
  <c r="Q73" i="451"/>
  <c r="Q52" i="451"/>
  <c r="Q82" i="451"/>
  <c r="O76" i="450"/>
  <c r="N77" i="450" s="1"/>
  <c r="O76" i="451"/>
  <c r="N77" i="451" s="1"/>
  <c r="Q82" i="452"/>
  <c r="Q73" i="452"/>
  <c r="Q82" i="455"/>
  <c r="Q73" i="455"/>
  <c r="Q73" i="448"/>
  <c r="Q53" i="448"/>
  <c r="Q52" i="448"/>
  <c r="Q66" i="448" s="1"/>
  <c r="Q82" i="448"/>
  <c r="Q82" i="450"/>
  <c r="Q73" i="450"/>
  <c r="Q53" i="450"/>
  <c r="Q55" i="450" s="1"/>
  <c r="Q75" i="447"/>
  <c r="Q76" i="447" s="1"/>
  <c r="P77" i="447" s="1"/>
  <c r="R12" i="454"/>
  <c r="R9" i="454"/>
  <c r="R11" i="454"/>
  <c r="R54" i="454" s="1"/>
  <c r="S10" i="454"/>
  <c r="R49" i="454"/>
  <c r="Q82" i="453"/>
  <c r="Q73" i="453"/>
  <c r="C79" i="444"/>
  <c r="D70" i="444"/>
  <c r="R12" i="452"/>
  <c r="R9" i="452"/>
  <c r="R11" i="452"/>
  <c r="R54" i="452" s="1"/>
  <c r="S10" i="452"/>
  <c r="R49" i="452"/>
  <c r="P53" i="450"/>
  <c r="P55" i="450" s="1"/>
  <c r="P75" i="446"/>
  <c r="R11" i="444"/>
  <c r="R54" i="444" s="1"/>
  <c r="S10" i="444"/>
  <c r="R9" i="444"/>
  <c r="R12" i="444"/>
  <c r="R49" i="444"/>
  <c r="R68" i="444"/>
  <c r="R56" i="444"/>
  <c r="Q55" i="447"/>
  <c r="P75" i="452"/>
  <c r="O81" i="444"/>
  <c r="P34" i="444"/>
  <c r="P75" i="453"/>
  <c r="P76" i="453" s="1"/>
  <c r="O77" i="453" s="1"/>
  <c r="B55" i="449"/>
  <c r="K23" i="28"/>
  <c r="L9" i="28"/>
  <c r="L13" i="28" s="1"/>
  <c r="J30" i="28"/>
  <c r="N8" i="28"/>
  <c r="M18" i="28"/>
  <c r="M17" i="28"/>
  <c r="M22" i="28"/>
  <c r="M19" i="28"/>
  <c r="M23" i="28"/>
  <c r="J34" i="28"/>
  <c r="M21" i="28"/>
  <c r="J31" i="28"/>
  <c r="H15" i="28"/>
  <c r="H32" i="28"/>
  <c r="J19" i="1"/>
  <c r="V3" i="450" s="1"/>
  <c r="H20" i="1"/>
  <c r="V2" i="451" s="1"/>
  <c r="D21" i="15"/>
  <c r="C23" i="28"/>
  <c r="E23" i="28"/>
  <c r="G23" i="28"/>
  <c r="I23" i="28"/>
  <c r="Q7" i="450" l="1"/>
  <c r="J52" i="449"/>
  <c r="C52" i="449"/>
  <c r="H52" i="451"/>
  <c r="T7" i="452"/>
  <c r="O52" i="451"/>
  <c r="E52" i="453"/>
  <c r="V7" i="454"/>
  <c r="L52" i="453"/>
  <c r="E52" i="449"/>
  <c r="S7" i="450"/>
  <c r="W7" i="450" s="1"/>
  <c r="L52" i="449"/>
  <c r="R7" i="451"/>
  <c r="B52" i="450"/>
  <c r="I52" i="450"/>
  <c r="P52" i="450"/>
  <c r="W7" i="449"/>
  <c r="U7" i="452"/>
  <c r="B52" i="451"/>
  <c r="I52" i="451"/>
  <c r="P52" i="451"/>
  <c r="P7" i="451"/>
  <c r="G52" i="450"/>
  <c r="N52" i="450"/>
  <c r="J15" i="28"/>
  <c r="O69" i="453"/>
  <c r="P69" i="447"/>
  <c r="O69" i="444"/>
  <c r="O69" i="455"/>
  <c r="O69" i="449"/>
  <c r="P81" i="444"/>
  <c r="Q34" i="444"/>
  <c r="S11" i="452"/>
  <c r="S54" i="452" s="1"/>
  <c r="T10" i="452"/>
  <c r="S12" i="452"/>
  <c r="S9" i="452"/>
  <c r="S49" i="452"/>
  <c r="S12" i="454"/>
  <c r="S11" i="454"/>
  <c r="S54" i="454" s="1"/>
  <c r="T10" i="454"/>
  <c r="S9" i="454"/>
  <c r="S49" i="454"/>
  <c r="Q75" i="450"/>
  <c r="Q76" i="450" s="1"/>
  <c r="P77" i="450" s="1"/>
  <c r="Q55" i="448"/>
  <c r="Q75" i="451"/>
  <c r="N69" i="445"/>
  <c r="R82" i="450"/>
  <c r="R53" i="450"/>
  <c r="R55" i="450" s="1"/>
  <c r="R52" i="450"/>
  <c r="R73" i="450"/>
  <c r="Q75" i="449"/>
  <c r="Q76" i="449" s="1"/>
  <c r="P77" i="449" s="1"/>
  <c r="P69" i="449" s="1"/>
  <c r="N26" i="28"/>
  <c r="N22" i="28"/>
  <c r="O22" i="28" s="1"/>
  <c r="N18" i="28"/>
  <c r="N25" i="28"/>
  <c r="N21" i="28"/>
  <c r="N17" i="28"/>
  <c r="N27" i="28"/>
  <c r="N23" i="28"/>
  <c r="N19" i="28"/>
  <c r="N28" i="28"/>
  <c r="N24" i="28"/>
  <c r="N20" i="28"/>
  <c r="Q75" i="453"/>
  <c r="Q76" i="453" s="1"/>
  <c r="P77" i="453" s="1"/>
  <c r="P69" i="453" s="1"/>
  <c r="Q75" i="448"/>
  <c r="Q76" i="448" s="1"/>
  <c r="P77" i="448" s="1"/>
  <c r="P69" i="448" s="1"/>
  <c r="Q75" i="452"/>
  <c r="Q76" i="452" s="1"/>
  <c r="P77" i="452" s="1"/>
  <c r="P69" i="452" s="1"/>
  <c r="S12" i="453"/>
  <c r="T10" i="453"/>
  <c r="S11" i="453"/>
  <c r="S54" i="453" s="1"/>
  <c r="S9" i="453"/>
  <c r="S49" i="453"/>
  <c r="S11" i="448"/>
  <c r="S54" i="448" s="1"/>
  <c r="S9" i="448"/>
  <c r="S12" i="448"/>
  <c r="T10" i="448"/>
  <c r="S49" i="448"/>
  <c r="R82" i="455"/>
  <c r="R73" i="455"/>
  <c r="P76" i="448"/>
  <c r="O77" i="448" s="1"/>
  <c r="S11" i="445"/>
  <c r="S54" i="445" s="1"/>
  <c r="S9" i="445"/>
  <c r="S12" i="445"/>
  <c r="T10" i="445"/>
  <c r="S49" i="445"/>
  <c r="S12" i="449"/>
  <c r="S11" i="449"/>
  <c r="S54" i="449" s="1"/>
  <c r="T10" i="449"/>
  <c r="S9" i="449"/>
  <c r="S49" i="449"/>
  <c r="B55" i="450"/>
  <c r="Q75" i="454"/>
  <c r="Q76" i="454" s="1"/>
  <c r="P77" i="454" s="1"/>
  <c r="S12" i="446"/>
  <c r="T10" i="446"/>
  <c r="S11" i="446"/>
  <c r="S54" i="446" s="1"/>
  <c r="S9" i="446"/>
  <c r="S49" i="446"/>
  <c r="Q75" i="444"/>
  <c r="S82" i="447"/>
  <c r="S52" i="447"/>
  <c r="S66" i="447" s="1"/>
  <c r="S53" i="447"/>
  <c r="S73" i="447"/>
  <c r="S12" i="444"/>
  <c r="T10" i="444"/>
  <c r="S11" i="444"/>
  <c r="S54" i="444" s="1"/>
  <c r="S9" i="444"/>
  <c r="S49" i="444"/>
  <c r="S68" i="444"/>
  <c r="S56" i="444"/>
  <c r="H53" i="451"/>
  <c r="H55" i="451" s="1"/>
  <c r="L53" i="451"/>
  <c r="L55" i="451" s="1"/>
  <c r="I53" i="451"/>
  <c r="I55" i="451" s="1"/>
  <c r="K53" i="451"/>
  <c r="K55" i="451" s="1"/>
  <c r="F53" i="451"/>
  <c r="F55" i="451" s="1"/>
  <c r="E53" i="451"/>
  <c r="E55" i="451" s="1"/>
  <c r="D53" i="451"/>
  <c r="D55" i="451" s="1"/>
  <c r="B53" i="451"/>
  <c r="J53" i="451"/>
  <c r="J55" i="451" s="1"/>
  <c r="C53" i="451"/>
  <c r="C55" i="451" s="1"/>
  <c r="G53" i="451"/>
  <c r="G55" i="451" s="1"/>
  <c r="M53" i="451"/>
  <c r="M55" i="451" s="1"/>
  <c r="N53" i="451"/>
  <c r="N55" i="451" s="1"/>
  <c r="O53" i="451"/>
  <c r="O55" i="451" s="1"/>
  <c r="P53" i="451"/>
  <c r="P55" i="451" s="1"/>
  <c r="P76" i="452"/>
  <c r="O77" i="452" s="1"/>
  <c r="P76" i="446"/>
  <c r="O77" i="446" s="1"/>
  <c r="D79" i="444"/>
  <c r="E70" i="444"/>
  <c r="N69" i="451"/>
  <c r="N69" i="450"/>
  <c r="Q53" i="451"/>
  <c r="Q55" i="451" s="1"/>
  <c r="R82" i="453"/>
  <c r="R73" i="453"/>
  <c r="Q75" i="446"/>
  <c r="R82" i="448"/>
  <c r="R73" i="448"/>
  <c r="R53" i="448"/>
  <c r="R55" i="448" s="1"/>
  <c r="R52" i="448"/>
  <c r="R66" i="448" s="1"/>
  <c r="S11" i="455"/>
  <c r="S54" i="455" s="1"/>
  <c r="S9" i="455"/>
  <c r="S12" i="455"/>
  <c r="T10" i="455"/>
  <c r="S49" i="455"/>
  <c r="S11" i="451"/>
  <c r="S54" i="451" s="1"/>
  <c r="S9" i="451"/>
  <c r="S12" i="451"/>
  <c r="T10" i="451"/>
  <c r="S49" i="451"/>
  <c r="R73" i="445"/>
  <c r="R52" i="445"/>
  <c r="R82" i="445"/>
  <c r="R53" i="445"/>
  <c r="R55" i="445" s="1"/>
  <c r="R52" i="449"/>
  <c r="R53" i="449"/>
  <c r="R82" i="449"/>
  <c r="R73" i="449"/>
  <c r="R82" i="446"/>
  <c r="R53" i="446"/>
  <c r="R55" i="446" s="1"/>
  <c r="R52" i="446"/>
  <c r="R73" i="446"/>
  <c r="R75" i="447"/>
  <c r="R76" i="447" s="1"/>
  <c r="Q77" i="447" s="1"/>
  <c r="Q69" i="447" s="1"/>
  <c r="T11" i="447"/>
  <c r="T54" i="447" s="1"/>
  <c r="U10" i="447"/>
  <c r="T12" i="447"/>
  <c r="T9" i="447"/>
  <c r="T49" i="447"/>
  <c r="R73" i="444"/>
  <c r="R53" i="444"/>
  <c r="R55" i="444" s="1"/>
  <c r="R52" i="444"/>
  <c r="R82" i="444"/>
  <c r="R82" i="452"/>
  <c r="R73" i="452"/>
  <c r="R82" i="454"/>
  <c r="R73" i="454"/>
  <c r="Q75" i="455"/>
  <c r="Q76" i="455" s="1"/>
  <c r="P77" i="455" s="1"/>
  <c r="Q75" i="445"/>
  <c r="Q76" i="445" s="1"/>
  <c r="P77" i="445" s="1"/>
  <c r="S11" i="450"/>
  <c r="S54" i="450" s="1"/>
  <c r="S9" i="450"/>
  <c r="S12" i="450"/>
  <c r="T10" i="450"/>
  <c r="S49" i="450"/>
  <c r="R82" i="451"/>
  <c r="R73" i="451"/>
  <c r="R53" i="451"/>
  <c r="R55" i="451" s="1"/>
  <c r="R52" i="451"/>
  <c r="O18" i="28"/>
  <c r="O17" i="28"/>
  <c r="L12" i="28"/>
  <c r="L14" i="28"/>
  <c r="O23" i="28"/>
  <c r="P8" i="28"/>
  <c r="L11" i="28"/>
  <c r="O21" i="28"/>
  <c r="O20" i="28"/>
  <c r="O19" i="28"/>
  <c r="N9" i="28"/>
  <c r="N11" i="28" s="1"/>
  <c r="J32" i="28"/>
  <c r="L31" i="28"/>
  <c r="L34" i="28"/>
  <c r="L30" i="28"/>
  <c r="M24" i="28"/>
  <c r="O24" i="28"/>
  <c r="J20" i="1"/>
  <c r="V3" i="451" s="1"/>
  <c r="H21" i="1"/>
  <c r="V2" i="452" s="1"/>
  <c r="D22" i="15"/>
  <c r="C24" i="28"/>
  <c r="E24" i="28"/>
  <c r="G24" i="28"/>
  <c r="I24" i="28"/>
  <c r="K24" i="28"/>
  <c r="M66" i="450" l="1"/>
  <c r="E66" i="450"/>
  <c r="F66" i="450"/>
  <c r="L66" i="450"/>
  <c r="F52" i="452"/>
  <c r="U7" i="453"/>
  <c r="M52" i="452"/>
  <c r="H66" i="449"/>
  <c r="G66" i="449"/>
  <c r="B66" i="449"/>
  <c r="O66" i="449"/>
  <c r="N66" i="449"/>
  <c r="F52" i="451"/>
  <c r="R7" i="452"/>
  <c r="M52" i="451"/>
  <c r="P7" i="452"/>
  <c r="K52" i="451"/>
  <c r="D52" i="451"/>
  <c r="V7" i="455"/>
  <c r="I52" i="454"/>
  <c r="B52" i="454"/>
  <c r="P52" i="454"/>
  <c r="S7" i="451"/>
  <c r="J52" i="450"/>
  <c r="C52" i="450"/>
  <c r="Q52" i="450"/>
  <c r="E52" i="452"/>
  <c r="T7" i="453"/>
  <c r="L52" i="452"/>
  <c r="H52" i="450"/>
  <c r="Q7" i="451"/>
  <c r="O52" i="450"/>
  <c r="P69" i="445"/>
  <c r="P69" i="450"/>
  <c r="P69" i="455"/>
  <c r="P69" i="454"/>
  <c r="R75" i="451"/>
  <c r="S73" i="450"/>
  <c r="S82" i="450"/>
  <c r="S53" i="450"/>
  <c r="S52" i="450"/>
  <c r="S66" i="450" s="1"/>
  <c r="T12" i="451"/>
  <c r="U10" i="451"/>
  <c r="T11" i="451"/>
  <c r="T54" i="451" s="1"/>
  <c r="T9" i="451"/>
  <c r="T49" i="451"/>
  <c r="T11" i="455"/>
  <c r="T54" i="455" s="1"/>
  <c r="T9" i="455"/>
  <c r="T12" i="455"/>
  <c r="U10" i="455"/>
  <c r="T49" i="455"/>
  <c r="R75" i="448"/>
  <c r="R76" i="448" s="1"/>
  <c r="Q77" i="448" s="1"/>
  <c r="Q69" i="448" s="1"/>
  <c r="O69" i="446"/>
  <c r="B55" i="451"/>
  <c r="T12" i="445"/>
  <c r="U10" i="445"/>
  <c r="T11" i="445"/>
  <c r="T54" i="445" s="1"/>
  <c r="T9" i="445"/>
  <c r="T49" i="445"/>
  <c r="S82" i="448"/>
  <c r="S73" i="448"/>
  <c r="S53" i="448"/>
  <c r="S55" i="448" s="1"/>
  <c r="S52" i="448"/>
  <c r="T11" i="453"/>
  <c r="T54" i="453" s="1"/>
  <c r="T9" i="453"/>
  <c r="T12" i="453"/>
  <c r="U10" i="453"/>
  <c r="T49" i="453"/>
  <c r="T11" i="452"/>
  <c r="T54" i="452" s="1"/>
  <c r="U10" i="452"/>
  <c r="T12" i="452"/>
  <c r="T9" i="452"/>
  <c r="T49" i="452"/>
  <c r="K53" i="452"/>
  <c r="K55" i="452" s="1"/>
  <c r="L53" i="452"/>
  <c r="L55" i="452" s="1"/>
  <c r="H53" i="452"/>
  <c r="H55" i="452" s="1"/>
  <c r="C53" i="452"/>
  <c r="C55" i="452" s="1"/>
  <c r="I53" i="452"/>
  <c r="I55" i="452" s="1"/>
  <c r="G53" i="452"/>
  <c r="G55" i="452" s="1"/>
  <c r="D53" i="452"/>
  <c r="D55" i="452" s="1"/>
  <c r="J53" i="452"/>
  <c r="J55" i="452" s="1"/>
  <c r="F53" i="452"/>
  <c r="F55" i="452" s="1"/>
  <c r="E53" i="452"/>
  <c r="E55" i="452" s="1"/>
  <c r="B53" i="452"/>
  <c r="M53" i="452"/>
  <c r="M55" i="452" s="1"/>
  <c r="N53" i="452"/>
  <c r="N55" i="452" s="1"/>
  <c r="O53" i="452"/>
  <c r="O55" i="452" s="1"/>
  <c r="P53" i="452"/>
  <c r="P55" i="452" s="1"/>
  <c r="Q53" i="452"/>
  <c r="Q55" i="452" s="1"/>
  <c r="P9" i="28"/>
  <c r="P27" i="28"/>
  <c r="P23" i="28"/>
  <c r="P19" i="28"/>
  <c r="P26" i="28"/>
  <c r="P22" i="28"/>
  <c r="P18" i="28"/>
  <c r="P28" i="28"/>
  <c r="P24" i="28"/>
  <c r="P20" i="28"/>
  <c r="P25" i="28"/>
  <c r="P21" i="28"/>
  <c r="P17" i="28"/>
  <c r="R75" i="454"/>
  <c r="T53" i="447"/>
  <c r="T55" i="447" s="1"/>
  <c r="T73" i="447"/>
  <c r="T82" i="447"/>
  <c r="T52" i="447"/>
  <c r="T66" i="447" s="1"/>
  <c r="R75" i="449"/>
  <c r="S82" i="451"/>
  <c r="S53" i="451"/>
  <c r="S55" i="451" s="1"/>
  <c r="S52" i="451"/>
  <c r="S73" i="451"/>
  <c r="S82" i="455"/>
  <c r="S73" i="455"/>
  <c r="Q76" i="446"/>
  <c r="P77" i="446" s="1"/>
  <c r="P69" i="446" s="1"/>
  <c r="O69" i="452"/>
  <c r="T11" i="444"/>
  <c r="T54" i="444" s="1"/>
  <c r="T9" i="444"/>
  <c r="T12" i="444"/>
  <c r="U10" i="444"/>
  <c r="T49" i="444"/>
  <c r="T56" i="444"/>
  <c r="T68" i="444"/>
  <c r="S75" i="447"/>
  <c r="S76" i="447" s="1"/>
  <c r="R77" i="447" s="1"/>
  <c r="R69" i="447" s="1"/>
  <c r="Q76" i="444"/>
  <c r="P77" i="444" s="1"/>
  <c r="P69" i="444" s="1"/>
  <c r="T11" i="446"/>
  <c r="T54" i="446" s="1"/>
  <c r="T9" i="446"/>
  <c r="T12" i="446"/>
  <c r="U10" i="446"/>
  <c r="T49" i="446"/>
  <c r="S73" i="449"/>
  <c r="S52" i="449"/>
  <c r="S53" i="449"/>
  <c r="S55" i="449" s="1"/>
  <c r="S82" i="449"/>
  <c r="S73" i="445"/>
  <c r="S52" i="445"/>
  <c r="S82" i="445"/>
  <c r="S53" i="445"/>
  <c r="S55" i="445" s="1"/>
  <c r="S73" i="453"/>
  <c r="S82" i="453"/>
  <c r="S52" i="453"/>
  <c r="S82" i="454"/>
  <c r="S73" i="454"/>
  <c r="Q81" i="444"/>
  <c r="R34" i="444"/>
  <c r="R75" i="452"/>
  <c r="R76" i="452" s="1"/>
  <c r="Q77" i="452" s="1"/>
  <c r="Q69" i="452" s="1"/>
  <c r="R75" i="444"/>
  <c r="R76" i="444" s="1"/>
  <c r="Q77" i="444" s="1"/>
  <c r="Q69" i="444" s="1"/>
  <c r="R75" i="446"/>
  <c r="R76" i="446" s="1"/>
  <c r="Q77" i="446" s="1"/>
  <c r="Q69" i="446" s="1"/>
  <c r="R75" i="445"/>
  <c r="R76" i="445" s="1"/>
  <c r="Q77" i="445" s="1"/>
  <c r="Q69" i="445" s="1"/>
  <c r="R75" i="453"/>
  <c r="R76" i="453" s="1"/>
  <c r="Q77" i="453" s="1"/>
  <c r="Q69" i="453" s="1"/>
  <c r="E79" i="444"/>
  <c r="F70" i="444"/>
  <c r="S82" i="444"/>
  <c r="S73" i="444"/>
  <c r="S53" i="444"/>
  <c r="S55" i="444" s="1"/>
  <c r="S52" i="444"/>
  <c r="S66" i="444" s="1"/>
  <c r="S82" i="446"/>
  <c r="S73" i="446"/>
  <c r="S53" i="446"/>
  <c r="S55" i="446" s="1"/>
  <c r="S52" i="446"/>
  <c r="T11" i="449"/>
  <c r="T54" i="449" s="1"/>
  <c r="U10" i="449"/>
  <c r="T12" i="449"/>
  <c r="T9" i="449"/>
  <c r="T49" i="449"/>
  <c r="R75" i="455"/>
  <c r="Q76" i="451"/>
  <c r="P77" i="451" s="1"/>
  <c r="S53" i="452"/>
  <c r="S55" i="452" s="1"/>
  <c r="S82" i="452"/>
  <c r="S73" i="452"/>
  <c r="S52" i="452"/>
  <c r="T11" i="450"/>
  <c r="T54" i="450" s="1"/>
  <c r="T9" i="450"/>
  <c r="T12" i="450"/>
  <c r="U10" i="450"/>
  <c r="T49" i="450"/>
  <c r="R53" i="452"/>
  <c r="R55" i="452" s="1"/>
  <c r="U11" i="447"/>
  <c r="U54" i="447" s="1"/>
  <c r="U12" i="447"/>
  <c r="U9" i="447"/>
  <c r="V10" i="447"/>
  <c r="U49" i="447"/>
  <c r="R55" i="449"/>
  <c r="S55" i="447"/>
  <c r="O69" i="448"/>
  <c r="T11" i="448"/>
  <c r="T54" i="448" s="1"/>
  <c r="T9" i="448"/>
  <c r="T12" i="448"/>
  <c r="U10" i="448"/>
  <c r="T49" i="448"/>
  <c r="R75" i="450"/>
  <c r="T11" i="454"/>
  <c r="T54" i="454" s="1"/>
  <c r="U10" i="454"/>
  <c r="T12" i="454"/>
  <c r="T9" i="454"/>
  <c r="T49" i="454"/>
  <c r="N12" i="28"/>
  <c r="N14" i="28"/>
  <c r="Q22" i="28"/>
  <c r="Q17" i="28"/>
  <c r="Q21" i="28"/>
  <c r="Q23" i="28"/>
  <c r="Q19" i="28"/>
  <c r="Q24" i="28"/>
  <c r="Q18" i="28"/>
  <c r="Q25" i="28"/>
  <c r="R8" i="28"/>
  <c r="Q20" i="28"/>
  <c r="N30" i="28"/>
  <c r="N31" i="28"/>
  <c r="N13" i="28"/>
  <c r="N34" i="28"/>
  <c r="L32" i="28"/>
  <c r="L15" i="28"/>
  <c r="J21" i="1"/>
  <c r="V3" i="452" s="1"/>
  <c r="D23" i="15"/>
  <c r="H22" i="1"/>
  <c r="V2" i="453" s="1"/>
  <c r="C25" i="28"/>
  <c r="E25" i="28"/>
  <c r="G25" i="28"/>
  <c r="I25" i="28"/>
  <c r="K25" i="28"/>
  <c r="M25" i="28"/>
  <c r="O25" i="28"/>
  <c r="P14" i="28"/>
  <c r="P13" i="28"/>
  <c r="P11" i="28"/>
  <c r="P12" i="28"/>
  <c r="T7" i="454" l="1"/>
  <c r="J52" i="453"/>
  <c r="C52" i="453"/>
  <c r="Q52" i="453"/>
  <c r="P7" i="453"/>
  <c r="H52" i="452"/>
  <c r="O52" i="452"/>
  <c r="E52" i="451"/>
  <c r="Q7" i="452"/>
  <c r="L52" i="451"/>
  <c r="G52" i="451"/>
  <c r="S7" i="452"/>
  <c r="N52" i="451"/>
  <c r="R7" i="453"/>
  <c r="C52" i="452"/>
  <c r="J52" i="452"/>
  <c r="Q52" i="452"/>
  <c r="D52" i="453"/>
  <c r="U7" i="454"/>
  <c r="K52" i="453"/>
  <c r="R52" i="453"/>
  <c r="W7" i="451"/>
  <c r="G52" i="455"/>
  <c r="N52" i="455"/>
  <c r="U11" i="454"/>
  <c r="U54" i="454" s="1"/>
  <c r="U12" i="454"/>
  <c r="U9" i="454"/>
  <c r="V10" i="454"/>
  <c r="U49" i="454"/>
  <c r="T82" i="448"/>
  <c r="T73" i="448"/>
  <c r="T53" i="448"/>
  <c r="T52" i="448"/>
  <c r="V12" i="447"/>
  <c r="V9" i="447"/>
  <c r="V11" i="447"/>
  <c r="V54" i="447" s="1"/>
  <c r="W10" i="447"/>
  <c r="V49" i="447"/>
  <c r="T53" i="449"/>
  <c r="T82" i="449"/>
  <c r="T73" i="449"/>
  <c r="T52" i="449"/>
  <c r="S75" i="446"/>
  <c r="F79" i="444"/>
  <c r="G70" i="444"/>
  <c r="T82" i="444"/>
  <c r="T73" i="444"/>
  <c r="T53" i="444"/>
  <c r="T55" i="444" s="1"/>
  <c r="T52" i="444"/>
  <c r="T66" i="444" s="1"/>
  <c r="S75" i="455"/>
  <c r="T82" i="453"/>
  <c r="T73" i="453"/>
  <c r="T53" i="453"/>
  <c r="T55" i="453" s="1"/>
  <c r="T52" i="453"/>
  <c r="S75" i="448"/>
  <c r="S76" i="448" s="1"/>
  <c r="R77" i="448" s="1"/>
  <c r="R69" i="448" s="1"/>
  <c r="T82" i="445"/>
  <c r="T53" i="445"/>
  <c r="T55" i="445" s="1"/>
  <c r="T73" i="445"/>
  <c r="T52" i="445"/>
  <c r="U11" i="455"/>
  <c r="U54" i="455" s="1"/>
  <c r="U12" i="455"/>
  <c r="V10" i="455"/>
  <c r="U9" i="455"/>
  <c r="U49" i="455"/>
  <c r="R76" i="455"/>
  <c r="Q77" i="455" s="1"/>
  <c r="Q69" i="455" s="1"/>
  <c r="U11" i="449"/>
  <c r="U54" i="449" s="1"/>
  <c r="U12" i="449"/>
  <c r="U9" i="449"/>
  <c r="V10" i="449"/>
  <c r="U49" i="449"/>
  <c r="S75" i="444"/>
  <c r="S76" i="444" s="1"/>
  <c r="R77" i="444" s="1"/>
  <c r="R69" i="444" s="1"/>
  <c r="R76" i="449"/>
  <c r="Q77" i="449" s="1"/>
  <c r="Q69" i="449" s="1"/>
  <c r="T75" i="447"/>
  <c r="T76" i="447" s="1"/>
  <c r="S77" i="447" s="1"/>
  <c r="S69" i="447" s="1"/>
  <c r="R76" i="454"/>
  <c r="Q77" i="454" s="1"/>
  <c r="Q69" i="454" s="1"/>
  <c r="T82" i="452"/>
  <c r="T73" i="452"/>
  <c r="T52" i="452"/>
  <c r="T53" i="452"/>
  <c r="T55" i="452" s="1"/>
  <c r="T82" i="455"/>
  <c r="T73" i="455"/>
  <c r="S75" i="450"/>
  <c r="S76" i="450" s="1"/>
  <c r="R77" i="450" s="1"/>
  <c r="R69" i="450" s="1"/>
  <c r="R76" i="451"/>
  <c r="Q77" i="451" s="1"/>
  <c r="Q69" i="451" s="1"/>
  <c r="J53" i="453"/>
  <c r="J55" i="453" s="1"/>
  <c r="G53" i="453"/>
  <c r="G55" i="453" s="1"/>
  <c r="H53" i="453"/>
  <c r="H55" i="453" s="1"/>
  <c r="B53" i="453"/>
  <c r="I53" i="453"/>
  <c r="I55" i="453" s="1"/>
  <c r="C53" i="453"/>
  <c r="C55" i="453" s="1"/>
  <c r="E53" i="453"/>
  <c r="E55" i="453" s="1"/>
  <c r="D53" i="453"/>
  <c r="D55" i="453" s="1"/>
  <c r="K53" i="453"/>
  <c r="K55" i="453" s="1"/>
  <c r="L53" i="453"/>
  <c r="L55" i="453" s="1"/>
  <c r="F53" i="453"/>
  <c r="F55" i="453" s="1"/>
  <c r="M53" i="453"/>
  <c r="M55" i="453" s="1"/>
  <c r="N53" i="453"/>
  <c r="N55" i="453" s="1"/>
  <c r="O53" i="453"/>
  <c r="O55" i="453" s="1"/>
  <c r="P53" i="453"/>
  <c r="P55" i="453" s="1"/>
  <c r="Q53" i="453"/>
  <c r="Q55" i="453" s="1"/>
  <c r="R53" i="453"/>
  <c r="R55" i="453" s="1"/>
  <c r="T73" i="454"/>
  <c r="T82" i="454"/>
  <c r="R76" i="450"/>
  <c r="Q77" i="450" s="1"/>
  <c r="Q69" i="450" s="1"/>
  <c r="U73" i="447"/>
  <c r="U82" i="447"/>
  <c r="U52" i="447"/>
  <c r="U53" i="447"/>
  <c r="U12" i="450"/>
  <c r="V10" i="450"/>
  <c r="U11" i="450"/>
  <c r="U54" i="450" s="1"/>
  <c r="U9" i="450"/>
  <c r="U49" i="450"/>
  <c r="S75" i="452"/>
  <c r="S76" i="452" s="1"/>
  <c r="R77" i="452" s="1"/>
  <c r="R69" i="452" s="1"/>
  <c r="P69" i="451"/>
  <c r="S34" i="444"/>
  <c r="R81" i="444"/>
  <c r="S75" i="453"/>
  <c r="U49" i="446"/>
  <c r="U11" i="446"/>
  <c r="U54" i="446" s="1"/>
  <c r="U9" i="446"/>
  <c r="U12" i="446"/>
  <c r="V10" i="446"/>
  <c r="U11" i="451"/>
  <c r="U54" i="451" s="1"/>
  <c r="U12" i="451"/>
  <c r="V10" i="451"/>
  <c r="U9" i="451"/>
  <c r="U49" i="451"/>
  <c r="R28" i="28"/>
  <c r="R24" i="28"/>
  <c r="S24" i="28" s="1"/>
  <c r="R20" i="28"/>
  <c r="S20" i="28" s="1"/>
  <c r="R27" i="28"/>
  <c r="R23" i="28"/>
  <c r="R19" i="28"/>
  <c r="S19" i="28" s="1"/>
  <c r="R25" i="28"/>
  <c r="S25" i="28" s="1"/>
  <c r="R21" i="28"/>
  <c r="R17" i="28"/>
  <c r="R26" i="28"/>
  <c r="S26" i="28" s="1"/>
  <c r="R22" i="28"/>
  <c r="R18" i="28"/>
  <c r="U11" i="448"/>
  <c r="U54" i="448" s="1"/>
  <c r="U9" i="448"/>
  <c r="U12" i="448"/>
  <c r="V10" i="448"/>
  <c r="U49" i="448"/>
  <c r="T82" i="450"/>
  <c r="T53" i="450"/>
  <c r="T55" i="450" s="1"/>
  <c r="T52" i="450"/>
  <c r="T66" i="450" s="1"/>
  <c r="T73" i="450"/>
  <c r="S75" i="454"/>
  <c r="S76" i="454" s="1"/>
  <c r="R77" i="454" s="1"/>
  <c r="R69" i="454" s="1"/>
  <c r="S53" i="453"/>
  <c r="S55" i="453" s="1"/>
  <c r="S75" i="445"/>
  <c r="S76" i="445" s="1"/>
  <c r="R77" i="445" s="1"/>
  <c r="R69" i="445" s="1"/>
  <c r="S75" i="449"/>
  <c r="S76" i="449" s="1"/>
  <c r="R77" i="449" s="1"/>
  <c r="R69" i="449" s="1"/>
  <c r="T82" i="446"/>
  <c r="T73" i="446"/>
  <c r="T53" i="446"/>
  <c r="T52" i="446"/>
  <c r="U12" i="444"/>
  <c r="V10" i="444"/>
  <c r="U9" i="444"/>
  <c r="U11" i="444"/>
  <c r="U54" i="444" s="1"/>
  <c r="U49" i="444"/>
  <c r="U56" i="444"/>
  <c r="U68" i="444"/>
  <c r="S75" i="451"/>
  <c r="S76" i="451" s="1"/>
  <c r="R77" i="451" s="1"/>
  <c r="R69" i="451" s="1"/>
  <c r="B55" i="452"/>
  <c r="U12" i="452"/>
  <c r="U9" i="452"/>
  <c r="U11" i="452"/>
  <c r="U54" i="452" s="1"/>
  <c r="V10" i="452"/>
  <c r="U49" i="452"/>
  <c r="U11" i="453"/>
  <c r="U54" i="453" s="1"/>
  <c r="U12" i="453"/>
  <c r="V10" i="453"/>
  <c r="U9" i="453"/>
  <c r="U49" i="453"/>
  <c r="U12" i="445"/>
  <c r="V10" i="445"/>
  <c r="U11" i="445"/>
  <c r="U54" i="445" s="1"/>
  <c r="U9" i="445"/>
  <c r="U49" i="445"/>
  <c r="T82" i="451"/>
  <c r="T73" i="451"/>
  <c r="T53" i="451"/>
  <c r="T55" i="451" s="1"/>
  <c r="T52" i="451"/>
  <c r="S55" i="450"/>
  <c r="Q26" i="28"/>
  <c r="S21" i="28"/>
  <c r="S17" i="28"/>
  <c r="S18" i="28"/>
  <c r="T8" i="28"/>
  <c r="S22" i="28"/>
  <c r="R9" i="28"/>
  <c r="R13" i="28" s="1"/>
  <c r="S23" i="28"/>
  <c r="P31" i="28"/>
  <c r="N32" i="28"/>
  <c r="P30" i="28"/>
  <c r="P34" i="28"/>
  <c r="N15" i="28"/>
  <c r="J22" i="1"/>
  <c r="V3" i="453" s="1"/>
  <c r="H23" i="1"/>
  <c r="V2" i="454" s="1"/>
  <c r="T53" i="454" s="1"/>
  <c r="T55" i="454" s="1"/>
  <c r="D24" i="15"/>
  <c r="C26" i="28"/>
  <c r="E26" i="28"/>
  <c r="G26" i="28"/>
  <c r="I26" i="28"/>
  <c r="K26" i="28"/>
  <c r="M26" i="28"/>
  <c r="O26" i="28"/>
  <c r="I66" i="451" l="1"/>
  <c r="J66" i="451"/>
  <c r="C66" i="451"/>
  <c r="B66" i="451"/>
  <c r="Q66" i="451"/>
  <c r="P66" i="451"/>
  <c r="D52" i="452"/>
  <c r="S7" i="453"/>
  <c r="K52" i="452"/>
  <c r="R52" i="452"/>
  <c r="P7" i="454"/>
  <c r="F52" i="453"/>
  <c r="M52" i="453"/>
  <c r="H52" i="454"/>
  <c r="U7" i="455"/>
  <c r="O52" i="454"/>
  <c r="G52" i="454"/>
  <c r="T7" i="455"/>
  <c r="N52" i="454"/>
  <c r="H52" i="453"/>
  <c r="R7" i="454"/>
  <c r="O52" i="453"/>
  <c r="Q7" i="453"/>
  <c r="W7" i="453" s="1"/>
  <c r="I52" i="452"/>
  <c r="B52" i="452"/>
  <c r="P52" i="452"/>
  <c r="W7" i="452"/>
  <c r="T66" i="452" s="1"/>
  <c r="T25" i="28"/>
  <c r="T21" i="28"/>
  <c r="T17" i="28"/>
  <c r="T28" i="28"/>
  <c r="T26" i="28"/>
  <c r="T22" i="28"/>
  <c r="T18" i="28"/>
  <c r="T24" i="28"/>
  <c r="U24" i="28" s="1"/>
  <c r="T20" i="28"/>
  <c r="T27" i="28"/>
  <c r="T23" i="28"/>
  <c r="T19" i="28"/>
  <c r="T75" i="451"/>
  <c r="V11" i="444"/>
  <c r="V54" i="444" s="1"/>
  <c r="W10" i="444"/>
  <c r="V9" i="444"/>
  <c r="V12" i="444"/>
  <c r="V49" i="444"/>
  <c r="V68" i="444"/>
  <c r="V56" i="444"/>
  <c r="U73" i="448"/>
  <c r="U53" i="448"/>
  <c r="U55" i="448" s="1"/>
  <c r="U52" i="448"/>
  <c r="U82" i="448"/>
  <c r="S81" i="444"/>
  <c r="T34" i="444"/>
  <c r="U55" i="447"/>
  <c r="T75" i="455"/>
  <c r="T76" i="455" s="1"/>
  <c r="S77" i="455" s="1"/>
  <c r="S69" i="455" s="1"/>
  <c r="V12" i="455"/>
  <c r="V11" i="455"/>
  <c r="V54" i="455" s="1"/>
  <c r="V9" i="455"/>
  <c r="W10" i="455"/>
  <c r="V49" i="455"/>
  <c r="T75" i="453"/>
  <c r="T76" i="453" s="1"/>
  <c r="S77" i="453" s="1"/>
  <c r="S69" i="453" s="1"/>
  <c r="T75" i="449"/>
  <c r="T76" i="449" s="1"/>
  <c r="S77" i="449" s="1"/>
  <c r="S69" i="449" s="1"/>
  <c r="U82" i="454"/>
  <c r="U73" i="454"/>
  <c r="U52" i="454"/>
  <c r="U53" i="454"/>
  <c r="U55" i="454" s="1"/>
  <c r="V12" i="445"/>
  <c r="W10" i="445"/>
  <c r="V11" i="445"/>
  <c r="V54" i="445" s="1"/>
  <c r="V9" i="445"/>
  <c r="V49" i="445"/>
  <c r="V11" i="453"/>
  <c r="V54" i="453" s="1"/>
  <c r="V9" i="453"/>
  <c r="V12" i="453"/>
  <c r="W10" i="453"/>
  <c r="V49" i="453"/>
  <c r="V12" i="452"/>
  <c r="V9" i="452"/>
  <c r="V11" i="452"/>
  <c r="V54" i="452" s="1"/>
  <c r="W10" i="452"/>
  <c r="V49" i="452"/>
  <c r="U82" i="452"/>
  <c r="U52" i="452"/>
  <c r="U66" i="452" s="1"/>
  <c r="U53" i="452"/>
  <c r="U73" i="452"/>
  <c r="U82" i="444"/>
  <c r="U73" i="444"/>
  <c r="U53" i="444"/>
  <c r="U55" i="444" s="1"/>
  <c r="U52" i="444"/>
  <c r="T55" i="446"/>
  <c r="V11" i="451"/>
  <c r="V54" i="451" s="1"/>
  <c r="V9" i="451"/>
  <c r="V12" i="451"/>
  <c r="W10" i="451"/>
  <c r="V49" i="451"/>
  <c r="V11" i="446"/>
  <c r="V54" i="446" s="1"/>
  <c r="V9" i="446"/>
  <c r="V12" i="446"/>
  <c r="W10" i="446"/>
  <c r="V49" i="446"/>
  <c r="B55" i="453"/>
  <c r="U82" i="449"/>
  <c r="U73" i="449"/>
  <c r="U52" i="449"/>
  <c r="U66" i="449" s="1"/>
  <c r="U53" i="449"/>
  <c r="U55" i="449" s="1"/>
  <c r="U82" i="455"/>
  <c r="U73" i="455"/>
  <c r="U52" i="455"/>
  <c r="S76" i="446"/>
  <c r="R77" i="446" s="1"/>
  <c r="R69" i="446" s="1"/>
  <c r="W12" i="447"/>
  <c r="W11" i="447"/>
  <c r="W54" i="447" s="1"/>
  <c r="X10" i="447"/>
  <c r="W9" i="447"/>
  <c r="W49" i="447"/>
  <c r="V82" i="447"/>
  <c r="V52" i="447"/>
  <c r="V53" i="447"/>
  <c r="V55" i="447" s="1"/>
  <c r="V73" i="447"/>
  <c r="K53" i="454"/>
  <c r="K55" i="454" s="1"/>
  <c r="G53" i="454"/>
  <c r="G55" i="454" s="1"/>
  <c r="E53" i="454"/>
  <c r="E55" i="454" s="1"/>
  <c r="L53" i="454"/>
  <c r="L55" i="454" s="1"/>
  <c r="J53" i="454"/>
  <c r="J55" i="454" s="1"/>
  <c r="H53" i="454"/>
  <c r="H55" i="454" s="1"/>
  <c r="C53" i="454"/>
  <c r="C55" i="454" s="1"/>
  <c r="B53" i="454"/>
  <c r="F53" i="454"/>
  <c r="F55" i="454" s="1"/>
  <c r="D53" i="454"/>
  <c r="D55" i="454" s="1"/>
  <c r="I53" i="454"/>
  <c r="I55" i="454" s="1"/>
  <c r="M53" i="454"/>
  <c r="M55" i="454" s="1"/>
  <c r="N53" i="454"/>
  <c r="N55" i="454" s="1"/>
  <c r="O53" i="454"/>
  <c r="O55" i="454" s="1"/>
  <c r="P53" i="454"/>
  <c r="P55" i="454" s="1"/>
  <c r="Q53" i="454"/>
  <c r="Q55" i="454" s="1"/>
  <c r="R53" i="454"/>
  <c r="R55" i="454" s="1"/>
  <c r="S53" i="454"/>
  <c r="S55" i="454" s="1"/>
  <c r="U53" i="445"/>
  <c r="U55" i="445" s="1"/>
  <c r="U73" i="445"/>
  <c r="U52" i="445"/>
  <c r="U82" i="445"/>
  <c r="U82" i="453"/>
  <c r="U73" i="453"/>
  <c r="U53" i="453"/>
  <c r="U55" i="453" s="1"/>
  <c r="U52" i="453"/>
  <c r="U73" i="451"/>
  <c r="U82" i="451"/>
  <c r="U53" i="451"/>
  <c r="U55" i="451" s="1"/>
  <c r="U52" i="451"/>
  <c r="U73" i="446"/>
  <c r="U53" i="446"/>
  <c r="U55" i="446" s="1"/>
  <c r="U52" i="446"/>
  <c r="U82" i="446"/>
  <c r="S76" i="453"/>
  <c r="R77" i="453" s="1"/>
  <c r="R69" i="453" s="1"/>
  <c r="V11" i="450"/>
  <c r="V54" i="450" s="1"/>
  <c r="V12" i="450"/>
  <c r="V9" i="450"/>
  <c r="W10" i="450"/>
  <c r="V49" i="450"/>
  <c r="T75" i="454"/>
  <c r="T76" i="454" s="1"/>
  <c r="S77" i="454" s="1"/>
  <c r="S69" i="454" s="1"/>
  <c r="S76" i="455"/>
  <c r="R77" i="455" s="1"/>
  <c r="R69" i="455" s="1"/>
  <c r="T75" i="444"/>
  <c r="T76" i="444" s="1"/>
  <c r="S77" i="444" s="1"/>
  <c r="S69" i="444" s="1"/>
  <c r="T55" i="449"/>
  <c r="T55" i="448"/>
  <c r="V12" i="454"/>
  <c r="V9" i="454"/>
  <c r="V11" i="454"/>
  <c r="V54" i="454" s="1"/>
  <c r="W10" i="454"/>
  <c r="V49" i="454"/>
  <c r="T75" i="446"/>
  <c r="T75" i="450"/>
  <c r="T76" i="450" s="1"/>
  <c r="S77" i="450" s="1"/>
  <c r="S69" i="450" s="1"/>
  <c r="V12" i="448"/>
  <c r="W10" i="448"/>
  <c r="V11" i="448"/>
  <c r="V54" i="448" s="1"/>
  <c r="V9" i="448"/>
  <c r="V49" i="448"/>
  <c r="U82" i="450"/>
  <c r="U73" i="450"/>
  <c r="U53" i="450"/>
  <c r="U52" i="450"/>
  <c r="U75" i="447"/>
  <c r="T75" i="452"/>
  <c r="T76" i="452" s="1"/>
  <c r="S77" i="452" s="1"/>
  <c r="S69" i="452" s="1"/>
  <c r="V12" i="449"/>
  <c r="V9" i="449"/>
  <c r="V11" i="449"/>
  <c r="V54" i="449" s="1"/>
  <c r="W10" i="449"/>
  <c r="V49" i="449"/>
  <c r="T75" i="445"/>
  <c r="T76" i="445" s="1"/>
  <c r="S77" i="445" s="1"/>
  <c r="S69" i="445" s="1"/>
  <c r="G79" i="444"/>
  <c r="H70" i="444"/>
  <c r="T75" i="448"/>
  <c r="U20" i="28"/>
  <c r="U21" i="28"/>
  <c r="V8" i="28"/>
  <c r="U19" i="28"/>
  <c r="U22" i="28"/>
  <c r="U17" i="28"/>
  <c r="U23" i="28"/>
  <c r="U26" i="28"/>
  <c r="U25" i="28"/>
  <c r="U18" i="28"/>
  <c r="T9" i="28"/>
  <c r="T11" i="28" s="1"/>
  <c r="U27" i="28"/>
  <c r="P15" i="28"/>
  <c r="R12" i="28"/>
  <c r="P32" i="28"/>
  <c r="R30" i="28"/>
  <c r="R34" i="28"/>
  <c r="R11" i="28"/>
  <c r="R31" i="28"/>
  <c r="R14" i="28"/>
  <c r="J23" i="1"/>
  <c r="V3" i="454" s="1"/>
  <c r="D25" i="15"/>
  <c r="H24" i="1"/>
  <c r="V2" i="455" s="1"/>
  <c r="U53" i="455" s="1"/>
  <c r="U55" i="455" s="1"/>
  <c r="C27" i="28"/>
  <c r="E27" i="28"/>
  <c r="G27" i="28"/>
  <c r="I27" i="28"/>
  <c r="K27" i="28"/>
  <c r="M27" i="28"/>
  <c r="O27" i="28"/>
  <c r="Q27" i="28"/>
  <c r="S27" i="28"/>
  <c r="D66" i="453" l="1"/>
  <c r="E66" i="453"/>
  <c r="K66" i="453"/>
  <c r="L66" i="453"/>
  <c r="S66" i="453"/>
  <c r="R66" i="453"/>
  <c r="E52" i="454"/>
  <c r="R7" i="455"/>
  <c r="L52" i="454"/>
  <c r="S52" i="454"/>
  <c r="P7" i="455"/>
  <c r="C52" i="454"/>
  <c r="J52" i="454"/>
  <c r="Q52" i="454"/>
  <c r="S7" i="454"/>
  <c r="B52" i="453"/>
  <c r="I52" i="453"/>
  <c r="P52" i="453"/>
  <c r="F66" i="452"/>
  <c r="G66" i="452"/>
  <c r="N66" i="452"/>
  <c r="M66" i="452"/>
  <c r="G52" i="453"/>
  <c r="Q7" i="454"/>
  <c r="N52" i="453"/>
  <c r="E52" i="455"/>
  <c r="L52" i="455"/>
  <c r="S52" i="455"/>
  <c r="F52" i="455"/>
  <c r="M52" i="455"/>
  <c r="T52" i="455"/>
  <c r="V9" i="28"/>
  <c r="V26" i="28"/>
  <c r="V22" i="28"/>
  <c r="V18" i="28"/>
  <c r="V27" i="28"/>
  <c r="V23" i="28"/>
  <c r="V19" i="28"/>
  <c r="V25" i="28"/>
  <c r="V21" i="28"/>
  <c r="V17" i="28"/>
  <c r="V28" i="28"/>
  <c r="V24" i="28"/>
  <c r="V20" i="28"/>
  <c r="V82" i="449"/>
  <c r="V73" i="449"/>
  <c r="V52" i="449"/>
  <c r="V66" i="449" s="1"/>
  <c r="V53" i="449"/>
  <c r="H79" i="444"/>
  <c r="I70" i="444"/>
  <c r="U55" i="450"/>
  <c r="V82" i="454"/>
  <c r="V73" i="454"/>
  <c r="V52" i="454"/>
  <c r="V53" i="454"/>
  <c r="V55" i="454" s="1"/>
  <c r="V82" i="450"/>
  <c r="V73" i="450"/>
  <c r="V53" i="450"/>
  <c r="V55" i="450" s="1"/>
  <c r="V52" i="450"/>
  <c r="U75" i="449"/>
  <c r="U76" i="449" s="1"/>
  <c r="T77" i="449" s="1"/>
  <c r="T69" i="449" s="1"/>
  <c r="W11" i="451"/>
  <c r="W54" i="451" s="1"/>
  <c r="W9" i="451"/>
  <c r="W12" i="451"/>
  <c r="X10" i="451"/>
  <c r="W49" i="451"/>
  <c r="U75" i="452"/>
  <c r="U76" i="452" s="1"/>
  <c r="T77" i="452" s="1"/>
  <c r="T69" i="452" s="1"/>
  <c r="W11" i="445"/>
  <c r="W54" i="445" s="1"/>
  <c r="W9" i="445"/>
  <c r="W12" i="445"/>
  <c r="X10" i="445"/>
  <c r="W49" i="445"/>
  <c r="W12" i="444"/>
  <c r="X10" i="444"/>
  <c r="W11" i="444"/>
  <c r="W54" i="444" s="1"/>
  <c r="W9" i="444"/>
  <c r="W49" i="444"/>
  <c r="W68" i="444"/>
  <c r="W56" i="444"/>
  <c r="U76" i="447"/>
  <c r="T77" i="447" s="1"/>
  <c r="T69" i="447" s="1"/>
  <c r="W11" i="448"/>
  <c r="W54" i="448" s="1"/>
  <c r="W9" i="448"/>
  <c r="W12" i="448"/>
  <c r="X10" i="448"/>
  <c r="W49" i="448"/>
  <c r="T76" i="446"/>
  <c r="S77" i="446" s="1"/>
  <c r="S69" i="446" s="1"/>
  <c r="W12" i="454"/>
  <c r="W11" i="454"/>
  <c r="W54" i="454" s="1"/>
  <c r="X10" i="454"/>
  <c r="W9" i="454"/>
  <c r="W49" i="454"/>
  <c r="U75" i="453"/>
  <c r="B55" i="454"/>
  <c r="W82" i="447"/>
  <c r="W52" i="447"/>
  <c r="W53" i="447"/>
  <c r="W55" i="447" s="1"/>
  <c r="W73" i="447"/>
  <c r="U55" i="452"/>
  <c r="W12" i="453"/>
  <c r="X10" i="453"/>
  <c r="W11" i="453"/>
  <c r="W54" i="453" s="1"/>
  <c r="W9" i="453"/>
  <c r="W49" i="453"/>
  <c r="V73" i="445"/>
  <c r="V52" i="445"/>
  <c r="V82" i="445"/>
  <c r="V53" i="445"/>
  <c r="V55" i="445" s="1"/>
  <c r="U75" i="448"/>
  <c r="W12" i="449"/>
  <c r="W11" i="449"/>
  <c r="W54" i="449" s="1"/>
  <c r="X10" i="449"/>
  <c r="W9" i="449"/>
  <c r="W49" i="449"/>
  <c r="V82" i="448"/>
  <c r="V73" i="448"/>
  <c r="V53" i="448"/>
  <c r="V52" i="448"/>
  <c r="V66" i="448" s="1"/>
  <c r="W11" i="450"/>
  <c r="W54" i="450" s="1"/>
  <c r="W9" i="450"/>
  <c r="W12" i="450"/>
  <c r="X10" i="450"/>
  <c r="W49" i="450"/>
  <c r="U75" i="446"/>
  <c r="U75" i="445"/>
  <c r="U76" i="445" s="1"/>
  <c r="T77" i="445" s="1"/>
  <c r="T69" i="445" s="1"/>
  <c r="V75" i="447"/>
  <c r="V76" i="447" s="1"/>
  <c r="U77" i="447" s="1"/>
  <c r="U69" i="447" s="1"/>
  <c r="X11" i="447"/>
  <c r="X54" i="447" s="1"/>
  <c r="Y10" i="447"/>
  <c r="X12" i="447"/>
  <c r="X9" i="447"/>
  <c r="X49" i="447"/>
  <c r="U75" i="455"/>
  <c r="U76" i="455" s="1"/>
  <c r="T77" i="455" s="1"/>
  <c r="T69" i="455" s="1"/>
  <c r="W12" i="446"/>
  <c r="X10" i="446"/>
  <c r="W11" i="446"/>
  <c r="W54" i="446" s="1"/>
  <c r="W9" i="446"/>
  <c r="W49" i="446"/>
  <c r="V82" i="451"/>
  <c r="V53" i="451"/>
  <c r="V55" i="451" s="1"/>
  <c r="V52" i="451"/>
  <c r="V73" i="451"/>
  <c r="V82" i="452"/>
  <c r="V52" i="452"/>
  <c r="V53" i="452"/>
  <c r="V55" i="452" s="1"/>
  <c r="V73" i="452"/>
  <c r="V82" i="453"/>
  <c r="V73" i="453"/>
  <c r="V53" i="453"/>
  <c r="V55" i="453" s="1"/>
  <c r="V52" i="453"/>
  <c r="U75" i="454"/>
  <c r="U76" i="454" s="1"/>
  <c r="T77" i="454" s="1"/>
  <c r="T69" i="454" s="1"/>
  <c r="V73" i="455"/>
  <c r="V82" i="455"/>
  <c r="V53" i="455"/>
  <c r="V55" i="455" s="1"/>
  <c r="V52" i="455"/>
  <c r="T81" i="444"/>
  <c r="U34" i="444"/>
  <c r="V73" i="444"/>
  <c r="V53" i="444"/>
  <c r="V55" i="444" s="1"/>
  <c r="V52" i="444"/>
  <c r="V82" i="444"/>
  <c r="T76" i="451"/>
  <c r="S77" i="451" s="1"/>
  <c r="S69" i="451" s="1"/>
  <c r="U75" i="450"/>
  <c r="J53" i="455"/>
  <c r="J55" i="455" s="1"/>
  <c r="I53" i="455"/>
  <c r="I55" i="455" s="1"/>
  <c r="H53" i="455"/>
  <c r="H55" i="455" s="1"/>
  <c r="G53" i="455"/>
  <c r="G55" i="455" s="1"/>
  <c r="F53" i="455"/>
  <c r="F55" i="455" s="1"/>
  <c r="C53" i="455"/>
  <c r="C55" i="455" s="1"/>
  <c r="D53" i="455"/>
  <c r="D55" i="455" s="1"/>
  <c r="B53" i="455"/>
  <c r="K53" i="455"/>
  <c r="K55" i="455" s="1"/>
  <c r="E53" i="455"/>
  <c r="E55" i="455" s="1"/>
  <c r="L53" i="455"/>
  <c r="L55" i="455" s="1"/>
  <c r="M53" i="455"/>
  <c r="M55" i="455" s="1"/>
  <c r="N53" i="455"/>
  <c r="N55" i="455" s="1"/>
  <c r="O53" i="455"/>
  <c r="O55" i="455" s="1"/>
  <c r="P53" i="455"/>
  <c r="P55" i="455" s="1"/>
  <c r="Q53" i="455"/>
  <c r="Q55" i="455" s="1"/>
  <c r="R53" i="455"/>
  <c r="R55" i="455" s="1"/>
  <c r="S53" i="455"/>
  <c r="S55" i="455" s="1"/>
  <c r="T53" i="455"/>
  <c r="T55" i="455" s="1"/>
  <c r="T76" i="448"/>
  <c r="S77" i="448" s="1"/>
  <c r="S69" i="448" s="1"/>
  <c r="U75" i="451"/>
  <c r="V82" i="446"/>
  <c r="V53" i="446"/>
  <c r="V55" i="446" s="1"/>
  <c r="V52" i="446"/>
  <c r="V66" i="446" s="1"/>
  <c r="V73" i="446"/>
  <c r="U75" i="444"/>
  <c r="W11" i="452"/>
  <c r="W54" i="452" s="1"/>
  <c r="X10" i="452"/>
  <c r="W12" i="452"/>
  <c r="W9" i="452"/>
  <c r="W49" i="452"/>
  <c r="W11" i="455"/>
  <c r="W54" i="455" s="1"/>
  <c r="W9" i="455"/>
  <c r="W12" i="455"/>
  <c r="X10" i="455"/>
  <c r="W49" i="455"/>
  <c r="W19" i="28"/>
  <c r="W22" i="28"/>
  <c r="X8" i="28"/>
  <c r="W23" i="28"/>
  <c r="W26" i="28"/>
  <c r="W25" i="28"/>
  <c r="W18" i="28"/>
  <c r="T12" i="28"/>
  <c r="W27" i="28"/>
  <c r="W17" i="28"/>
  <c r="W24" i="28"/>
  <c r="W28" i="28"/>
  <c r="W21" i="28"/>
  <c r="W20" i="28"/>
  <c r="T31" i="28"/>
  <c r="T34" i="28"/>
  <c r="T13" i="28"/>
  <c r="T30" i="28"/>
  <c r="T14" i="28"/>
  <c r="R15" i="28"/>
  <c r="R32" i="28"/>
  <c r="J24" i="1"/>
  <c r="D26" i="15"/>
  <c r="C28" i="28"/>
  <c r="E28" i="28"/>
  <c r="G28" i="28"/>
  <c r="I28" i="28"/>
  <c r="K28" i="28"/>
  <c r="M28" i="28"/>
  <c r="O28" i="28"/>
  <c r="Q28" i="28"/>
  <c r="S28" i="28"/>
  <c r="U28" i="28"/>
  <c r="V13" i="28"/>
  <c r="V11" i="28"/>
  <c r="V12" i="28"/>
  <c r="V14" i="28"/>
  <c r="W7" i="454" l="1"/>
  <c r="I66" i="454"/>
  <c r="B66" i="454"/>
  <c r="H66" i="454"/>
  <c r="P66" i="454"/>
  <c r="O66" i="454"/>
  <c r="H52" i="455"/>
  <c r="O52" i="455"/>
  <c r="V66" i="454"/>
  <c r="D52" i="454"/>
  <c r="Q7" i="455"/>
  <c r="K52" i="454"/>
  <c r="R52" i="454"/>
  <c r="F52" i="454"/>
  <c r="S7" i="455"/>
  <c r="M52" i="454"/>
  <c r="T52" i="454"/>
  <c r="C52" i="455"/>
  <c r="J52" i="455"/>
  <c r="Q52" i="455"/>
  <c r="X11" i="450"/>
  <c r="X54" i="450" s="1"/>
  <c r="X9" i="450"/>
  <c r="X12" i="450"/>
  <c r="Y10" i="450"/>
  <c r="X49" i="450"/>
  <c r="V75" i="448"/>
  <c r="V76" i="448" s="1"/>
  <c r="U77" i="448" s="1"/>
  <c r="U69" i="448" s="1"/>
  <c r="W73" i="449"/>
  <c r="W52" i="449"/>
  <c r="W53" i="449"/>
  <c r="W55" i="449" s="1"/>
  <c r="W82" i="449"/>
  <c r="W73" i="453"/>
  <c r="W82" i="453"/>
  <c r="W53" i="453"/>
  <c r="W55" i="453" s="1"/>
  <c r="W52" i="453"/>
  <c r="X11" i="454"/>
  <c r="X54" i="454" s="1"/>
  <c r="Y10" i="454"/>
  <c r="X12" i="454"/>
  <c r="X9" i="454"/>
  <c r="X49" i="454"/>
  <c r="W82" i="448"/>
  <c r="W73" i="448"/>
  <c r="W53" i="448"/>
  <c r="W55" i="448" s="1"/>
  <c r="W52" i="448"/>
  <c r="X49" i="444"/>
  <c r="X11" i="444"/>
  <c r="X54" i="444" s="1"/>
  <c r="X9" i="444"/>
  <c r="X12" i="444"/>
  <c r="Y10" i="444"/>
  <c r="X56" i="444"/>
  <c r="X68" i="444"/>
  <c r="W82" i="451"/>
  <c r="W53" i="451"/>
  <c r="W55" i="451" s="1"/>
  <c r="W52" i="451"/>
  <c r="W66" i="451" s="1"/>
  <c r="W73" i="451"/>
  <c r="X27" i="28"/>
  <c r="X23" i="28"/>
  <c r="X19" i="28"/>
  <c r="X28" i="28"/>
  <c r="X24" i="28"/>
  <c r="X20" i="28"/>
  <c r="X26" i="28"/>
  <c r="X22" i="28"/>
  <c r="X18" i="28"/>
  <c r="X25" i="28"/>
  <c r="Y25" i="28" s="1"/>
  <c r="X21" i="28"/>
  <c r="X17" i="28"/>
  <c r="X11" i="455"/>
  <c r="X54" i="455" s="1"/>
  <c r="X9" i="455"/>
  <c r="X12" i="455"/>
  <c r="Y10" i="455"/>
  <c r="X49" i="455"/>
  <c r="X11" i="452"/>
  <c r="X54" i="452" s="1"/>
  <c r="Y10" i="452"/>
  <c r="X12" i="452"/>
  <c r="X9" i="452"/>
  <c r="X49" i="452"/>
  <c r="U76" i="450"/>
  <c r="T77" i="450" s="1"/>
  <c r="T69" i="450" s="1"/>
  <c r="V75" i="453"/>
  <c r="V76" i="453" s="1"/>
  <c r="U77" i="453" s="1"/>
  <c r="U69" i="453" s="1"/>
  <c r="X53" i="447"/>
  <c r="X55" i="447" s="1"/>
  <c r="X73" i="447"/>
  <c r="X82" i="447"/>
  <c r="X52" i="447"/>
  <c r="W73" i="450"/>
  <c r="W82" i="450"/>
  <c r="W53" i="450"/>
  <c r="W55" i="450" s="1"/>
  <c r="W52" i="450"/>
  <c r="W82" i="444"/>
  <c r="W73" i="444"/>
  <c r="W53" i="444"/>
  <c r="W55" i="444" s="1"/>
  <c r="W52" i="444"/>
  <c r="X12" i="445"/>
  <c r="Y10" i="445"/>
  <c r="X11" i="445"/>
  <c r="X54" i="445" s="1"/>
  <c r="X9" i="445"/>
  <c r="X49" i="445"/>
  <c r="V75" i="450"/>
  <c r="W82" i="455"/>
  <c r="W73" i="455"/>
  <c r="W53" i="455"/>
  <c r="W55" i="455" s="1"/>
  <c r="W52" i="455"/>
  <c r="U76" i="444"/>
  <c r="T77" i="444" s="1"/>
  <c r="T69" i="444" s="1"/>
  <c r="U76" i="451"/>
  <c r="T77" i="451" s="1"/>
  <c r="T69" i="451" s="1"/>
  <c r="V34" i="444"/>
  <c r="U81" i="444"/>
  <c r="V75" i="451"/>
  <c r="V76" i="451" s="1"/>
  <c r="U77" i="451" s="1"/>
  <c r="U69" i="451" s="1"/>
  <c r="X11" i="446"/>
  <c r="X54" i="446" s="1"/>
  <c r="X9" i="446"/>
  <c r="X12" i="446"/>
  <c r="Y10" i="446"/>
  <c r="X49" i="446"/>
  <c r="U76" i="446"/>
  <c r="T77" i="446" s="1"/>
  <c r="T69" i="446" s="1"/>
  <c r="X11" i="449"/>
  <c r="X54" i="449" s="1"/>
  <c r="Y10" i="449"/>
  <c r="X12" i="449"/>
  <c r="X9" i="449"/>
  <c r="X49" i="449"/>
  <c r="U76" i="453"/>
  <c r="T77" i="453" s="1"/>
  <c r="T69" i="453" s="1"/>
  <c r="W73" i="454"/>
  <c r="W82" i="454"/>
  <c r="W52" i="454"/>
  <c r="W66" i="454" s="1"/>
  <c r="W53" i="454"/>
  <c r="W73" i="445"/>
  <c r="W52" i="445"/>
  <c r="W66" i="445" s="1"/>
  <c r="W82" i="445"/>
  <c r="W53" i="445"/>
  <c r="W55" i="445" s="1"/>
  <c r="I79" i="444"/>
  <c r="J70" i="444"/>
  <c r="V75" i="449"/>
  <c r="J25" i="1"/>
  <c r="E34" i="1" s="1"/>
  <c r="V3" i="455"/>
  <c r="W53" i="452"/>
  <c r="W55" i="452" s="1"/>
  <c r="W73" i="452"/>
  <c r="W82" i="452"/>
  <c r="W52" i="452"/>
  <c r="V75" i="446"/>
  <c r="V76" i="446" s="1"/>
  <c r="U77" i="446" s="1"/>
  <c r="U69" i="446" s="1"/>
  <c r="B55" i="455"/>
  <c r="V75" i="444"/>
  <c r="V75" i="455"/>
  <c r="V75" i="452"/>
  <c r="W82" i="446"/>
  <c r="W73" i="446"/>
  <c r="W53" i="446"/>
  <c r="W55" i="446" s="1"/>
  <c r="W52" i="446"/>
  <c r="W66" i="446" s="1"/>
  <c r="Y11" i="447"/>
  <c r="Y54" i="447" s="1"/>
  <c r="Y12" i="447"/>
  <c r="Y9" i="447"/>
  <c r="Z10" i="447"/>
  <c r="Y49" i="447"/>
  <c r="V55" i="448"/>
  <c r="U76" i="448"/>
  <c r="T77" i="448" s="1"/>
  <c r="T69" i="448" s="1"/>
  <c r="V75" i="445"/>
  <c r="V76" i="445" s="1"/>
  <c r="U77" i="445" s="1"/>
  <c r="U69" i="445" s="1"/>
  <c r="X11" i="453"/>
  <c r="X54" i="453" s="1"/>
  <c r="X9" i="453"/>
  <c r="X12" i="453"/>
  <c r="Y10" i="453"/>
  <c r="X49" i="453"/>
  <c r="W75" i="447"/>
  <c r="W76" i="447" s="1"/>
  <c r="V77" i="447" s="1"/>
  <c r="V69" i="447" s="1"/>
  <c r="X11" i="448"/>
  <c r="X54" i="448" s="1"/>
  <c r="X9" i="448"/>
  <c r="X12" i="448"/>
  <c r="Y10" i="448"/>
  <c r="X49" i="448"/>
  <c r="X12" i="451"/>
  <c r="Y10" i="451"/>
  <c r="X11" i="451"/>
  <c r="X54" i="451" s="1"/>
  <c r="X9" i="451"/>
  <c r="X49" i="451"/>
  <c r="V75" i="454"/>
  <c r="V55" i="449"/>
  <c r="X9" i="28"/>
  <c r="X13" i="28" s="1"/>
  <c r="Y26" i="28"/>
  <c r="Y24" i="28"/>
  <c r="Y28" i="28"/>
  <c r="Y22" i="28"/>
  <c r="Z8" i="28"/>
  <c r="Y23" i="28"/>
  <c r="Y18" i="28"/>
  <c r="Y27" i="28"/>
  <c r="Y20" i="28"/>
  <c r="Y17" i="28"/>
  <c r="Y19" i="28"/>
  <c r="Y21" i="28"/>
  <c r="V31" i="28"/>
  <c r="V30" i="28"/>
  <c r="V34" i="28"/>
  <c r="T32" i="28"/>
  <c r="T15" i="28"/>
  <c r="W7" i="455" l="1"/>
  <c r="F66" i="455"/>
  <c r="G66" i="455"/>
  <c r="M66" i="455"/>
  <c r="N66" i="455"/>
  <c r="U66" i="455"/>
  <c r="T66" i="455"/>
  <c r="D52" i="455"/>
  <c r="K52" i="455"/>
  <c r="R52" i="455"/>
  <c r="B52" i="455"/>
  <c r="I52" i="455"/>
  <c r="P52" i="455"/>
  <c r="X11" i="28"/>
  <c r="X14" i="28"/>
  <c r="X82" i="451"/>
  <c r="X73" i="451"/>
  <c r="X53" i="451"/>
  <c r="X55" i="451" s="1"/>
  <c r="X52" i="451"/>
  <c r="X66" i="451" s="1"/>
  <c r="W55" i="454"/>
  <c r="Y11" i="449"/>
  <c r="Y54" i="449" s="1"/>
  <c r="Y12" i="449"/>
  <c r="Y9" i="449"/>
  <c r="Z10" i="449"/>
  <c r="Y49" i="449"/>
  <c r="X82" i="445"/>
  <c r="X53" i="445"/>
  <c r="X55" i="445" s="1"/>
  <c r="X73" i="445"/>
  <c r="X52" i="445"/>
  <c r="X66" i="445" s="1"/>
  <c r="X75" i="447"/>
  <c r="X76" i="447" s="1"/>
  <c r="W77" i="447" s="1"/>
  <c r="W69" i="447" s="1"/>
  <c r="Y12" i="452"/>
  <c r="Y9" i="452"/>
  <c r="Y11" i="452"/>
  <c r="Y54" i="452" s="1"/>
  <c r="Z10" i="452"/>
  <c r="Y49" i="452"/>
  <c r="Y11" i="455"/>
  <c r="Y54" i="455" s="1"/>
  <c r="Y12" i="455"/>
  <c r="Z10" i="455"/>
  <c r="Y9" i="455"/>
  <c r="Y49" i="455"/>
  <c r="X82" i="444"/>
  <c r="X73" i="444"/>
  <c r="X53" i="444"/>
  <c r="X55" i="444" s="1"/>
  <c r="X52" i="444"/>
  <c r="W75" i="448"/>
  <c r="W75" i="453"/>
  <c r="W76" i="453" s="1"/>
  <c r="V77" i="453" s="1"/>
  <c r="V69" i="453" s="1"/>
  <c r="W75" i="449"/>
  <c r="Y12" i="450"/>
  <c r="Z10" i="450"/>
  <c r="Y11" i="450"/>
  <c r="Y54" i="450" s="1"/>
  <c r="Y9" i="450"/>
  <c r="Y49" i="450"/>
  <c r="Z12" i="447"/>
  <c r="Z9" i="447"/>
  <c r="Z11" i="447"/>
  <c r="Z54" i="447" s="1"/>
  <c r="AA10" i="447"/>
  <c r="Z49" i="447"/>
  <c r="X82" i="448"/>
  <c r="X73" i="448"/>
  <c r="X53" i="448"/>
  <c r="X55" i="448" s="1"/>
  <c r="X52" i="448"/>
  <c r="X66" i="448" s="1"/>
  <c r="V76" i="449"/>
  <c r="U77" i="449" s="1"/>
  <c r="U69" i="449" s="1"/>
  <c r="Y49" i="446"/>
  <c r="Y11" i="446"/>
  <c r="Y54" i="446" s="1"/>
  <c r="Y9" i="446"/>
  <c r="Y12" i="446"/>
  <c r="Z10" i="446"/>
  <c r="X82" i="455"/>
  <c r="X73" i="455"/>
  <c r="X53" i="455"/>
  <c r="X52" i="455"/>
  <c r="X73" i="454"/>
  <c r="X82" i="454"/>
  <c r="X53" i="454"/>
  <c r="X55" i="454" s="1"/>
  <c r="X52" i="454"/>
  <c r="X82" i="450"/>
  <c r="X73" i="450"/>
  <c r="X53" i="450"/>
  <c r="X52" i="450"/>
  <c r="Z28" i="28"/>
  <c r="AA28" i="28" s="1"/>
  <c r="Z24" i="28"/>
  <c r="Z20" i="28"/>
  <c r="Z27" i="28"/>
  <c r="Z25" i="28"/>
  <c r="AA25" i="28" s="1"/>
  <c r="Z21" i="28"/>
  <c r="AA21" i="28" s="1"/>
  <c r="Z17" i="28"/>
  <c r="Z23" i="28"/>
  <c r="Z19" i="28"/>
  <c r="AA19" i="28" s="1"/>
  <c r="Z26" i="28"/>
  <c r="Z22" i="28"/>
  <c r="Z18" i="28"/>
  <c r="Y11" i="448"/>
  <c r="Y54" i="448" s="1"/>
  <c r="Y9" i="448"/>
  <c r="Y12" i="448"/>
  <c r="Z10" i="448"/>
  <c r="Y49" i="448"/>
  <c r="Y11" i="453"/>
  <c r="Y54" i="453" s="1"/>
  <c r="Y12" i="453"/>
  <c r="Z10" i="453"/>
  <c r="Y9" i="453"/>
  <c r="Y49" i="453"/>
  <c r="X82" i="453"/>
  <c r="X73" i="453"/>
  <c r="X53" i="453"/>
  <c r="X52" i="453"/>
  <c r="W75" i="446"/>
  <c r="W76" i="446" s="1"/>
  <c r="V77" i="446" s="1"/>
  <c r="V69" i="446" s="1"/>
  <c r="V76" i="444"/>
  <c r="U77" i="444" s="1"/>
  <c r="U69" i="444" s="1"/>
  <c r="X12" i="28"/>
  <c r="V76" i="454"/>
  <c r="U77" i="454" s="1"/>
  <c r="U69" i="454" s="1"/>
  <c r="Y73" i="447"/>
  <c r="Y82" i="447"/>
  <c r="Y52" i="447"/>
  <c r="Y53" i="447"/>
  <c r="Y55" i="447" s="1"/>
  <c r="V76" i="452"/>
  <c r="U77" i="452" s="1"/>
  <c r="U69" i="452" s="1"/>
  <c r="V76" i="455"/>
  <c r="U77" i="455" s="1"/>
  <c r="U69" i="455" s="1"/>
  <c r="W75" i="445"/>
  <c r="W76" i="445" s="1"/>
  <c r="V77" i="445" s="1"/>
  <c r="V69" i="445" s="1"/>
  <c r="X53" i="449"/>
  <c r="X82" i="449"/>
  <c r="X73" i="449"/>
  <c r="X52" i="449"/>
  <c r="X82" i="446"/>
  <c r="X73" i="446"/>
  <c r="X53" i="446"/>
  <c r="X55" i="446" s="1"/>
  <c r="X52" i="446"/>
  <c r="W75" i="455"/>
  <c r="W76" i="455" s="1"/>
  <c r="V77" i="455" s="1"/>
  <c r="V69" i="455" s="1"/>
  <c r="V76" i="450"/>
  <c r="U77" i="450" s="1"/>
  <c r="U69" i="450" s="1"/>
  <c r="X73" i="452"/>
  <c r="X82" i="452"/>
  <c r="X52" i="452"/>
  <c r="X53" i="452"/>
  <c r="X55" i="452" s="1"/>
  <c r="W75" i="451"/>
  <c r="W76" i="451" s="1"/>
  <c r="V77" i="451" s="1"/>
  <c r="V69" i="451" s="1"/>
  <c r="Y11" i="454"/>
  <c r="Y54" i="454" s="1"/>
  <c r="Y12" i="454"/>
  <c r="Y9" i="454"/>
  <c r="Z10" i="454"/>
  <c r="Y49" i="454"/>
  <c r="Y11" i="451"/>
  <c r="Y54" i="451" s="1"/>
  <c r="Y12" i="451"/>
  <c r="Z10" i="451"/>
  <c r="Y9" i="451"/>
  <c r="Y49" i="451"/>
  <c r="W75" i="452"/>
  <c r="W76" i="452" s="1"/>
  <c r="V77" i="452" s="1"/>
  <c r="V69" i="452" s="1"/>
  <c r="J79" i="444"/>
  <c r="K70" i="444"/>
  <c r="W75" i="454"/>
  <c r="W76" i="454" s="1"/>
  <c r="V77" i="454" s="1"/>
  <c r="V69" i="454" s="1"/>
  <c r="W34" i="444"/>
  <c r="V81" i="444"/>
  <c r="Y12" i="445"/>
  <c r="Z10" i="445"/>
  <c r="Y11" i="445"/>
  <c r="Y54" i="445" s="1"/>
  <c r="Y9" i="445"/>
  <c r="Y49" i="445"/>
  <c r="W75" i="444"/>
  <c r="W75" i="450"/>
  <c r="W76" i="450" s="1"/>
  <c r="V77" i="450" s="1"/>
  <c r="V69" i="450" s="1"/>
  <c r="Y12" i="444"/>
  <c r="Z10" i="444"/>
  <c r="Y9" i="444"/>
  <c r="Y11" i="444"/>
  <c r="Y54" i="444" s="1"/>
  <c r="Y49" i="444"/>
  <c r="Y56" i="444"/>
  <c r="Y68" i="444"/>
  <c r="AA18" i="28"/>
  <c r="AA26" i="28"/>
  <c r="AA22" i="28"/>
  <c r="AA23" i="28"/>
  <c r="Z9" i="28"/>
  <c r="Z12" i="28" s="1"/>
  <c r="AA27" i="28"/>
  <c r="AA24" i="28"/>
  <c r="AA17" i="28"/>
  <c r="AB8" i="28"/>
  <c r="AA20" i="28"/>
  <c r="X34" i="28"/>
  <c r="X31" i="28"/>
  <c r="X30" i="28"/>
  <c r="V15" i="28"/>
  <c r="V32" i="28"/>
  <c r="Z11" i="444" l="1"/>
  <c r="Z54" i="444" s="1"/>
  <c r="Z9" i="444"/>
  <c r="Z12" i="444"/>
  <c r="AA10" i="444"/>
  <c r="Z49" i="444"/>
  <c r="Z68" i="444"/>
  <c r="Z56" i="444"/>
  <c r="K79" i="444"/>
  <c r="L70" i="444"/>
  <c r="Z12" i="454"/>
  <c r="Z9" i="454"/>
  <c r="Z11" i="454"/>
  <c r="Z54" i="454" s="1"/>
  <c r="AA10" i="454"/>
  <c r="Z49" i="454"/>
  <c r="X75" i="452"/>
  <c r="X76" i="452" s="1"/>
  <c r="W77" i="452" s="1"/>
  <c r="W69" i="452" s="1"/>
  <c r="X75" i="449"/>
  <c r="X76" i="449" s="1"/>
  <c r="W77" i="449" s="1"/>
  <c r="W69" i="449" s="1"/>
  <c r="Y75" i="447"/>
  <c r="Y76" i="447" s="1"/>
  <c r="X77" i="447" s="1"/>
  <c r="X69" i="447" s="1"/>
  <c r="Y82" i="453"/>
  <c r="Y73" i="453"/>
  <c r="Y53" i="453"/>
  <c r="Y55" i="453" s="1"/>
  <c r="Y52" i="453"/>
  <c r="Y66" i="453" s="1"/>
  <c r="Y82" i="448"/>
  <c r="Y73" i="448"/>
  <c r="Y53" i="448"/>
  <c r="Y55" i="448" s="1"/>
  <c r="Y52" i="448"/>
  <c r="Y66" i="448" s="1"/>
  <c r="X55" i="455"/>
  <c r="AA12" i="447"/>
  <c r="AA11" i="447"/>
  <c r="AA54" i="447" s="1"/>
  <c r="AB10" i="447"/>
  <c r="AA9" i="447"/>
  <c r="AA49" i="447"/>
  <c r="Z82" i="447"/>
  <c r="Z52" i="447"/>
  <c r="Z66" i="447" s="1"/>
  <c r="Z53" i="447"/>
  <c r="Z55" i="447" s="1"/>
  <c r="Z73" i="447"/>
  <c r="X75" i="444"/>
  <c r="X75" i="451"/>
  <c r="X76" i="451" s="1"/>
  <c r="W77" i="451" s="1"/>
  <c r="W69" i="451" s="1"/>
  <c r="Z11" i="451"/>
  <c r="Z54" i="451" s="1"/>
  <c r="Z9" i="451"/>
  <c r="Z12" i="451"/>
  <c r="AA10" i="451"/>
  <c r="Z49" i="451"/>
  <c r="X75" i="446"/>
  <c r="X76" i="446" s="1"/>
  <c r="W77" i="446" s="1"/>
  <c r="W69" i="446" s="1"/>
  <c r="X55" i="450"/>
  <c r="X75" i="454"/>
  <c r="X76" i="454" s="1"/>
  <c r="W77" i="454" s="1"/>
  <c r="W69" i="454" s="1"/>
  <c r="X75" i="455"/>
  <c r="X76" i="455" s="1"/>
  <c r="W77" i="455" s="1"/>
  <c r="W69" i="455" s="1"/>
  <c r="Z11" i="450"/>
  <c r="Z54" i="450" s="1"/>
  <c r="Z12" i="450"/>
  <c r="AA10" i="450"/>
  <c r="Z9" i="450"/>
  <c r="Z49" i="450"/>
  <c r="W76" i="448"/>
  <c r="V77" i="448" s="1"/>
  <c r="V69" i="448" s="1"/>
  <c r="Z12" i="455"/>
  <c r="Z11" i="455"/>
  <c r="Z54" i="455" s="1"/>
  <c r="Z9" i="455"/>
  <c r="AA10" i="455"/>
  <c r="Z49" i="455"/>
  <c r="X75" i="445"/>
  <c r="X76" i="445" s="1"/>
  <c r="W77" i="445" s="1"/>
  <c r="W69" i="445" s="1"/>
  <c r="Y82" i="449"/>
  <c r="Y73" i="449"/>
  <c r="Y52" i="449"/>
  <c r="Y53" i="449"/>
  <c r="Y55" i="449" s="1"/>
  <c r="Y82" i="444"/>
  <c r="Y73" i="444"/>
  <c r="Y53" i="444"/>
  <c r="Y55" i="444" s="1"/>
  <c r="Y52" i="444"/>
  <c r="Z12" i="445"/>
  <c r="AA10" i="445"/>
  <c r="Z11" i="445"/>
  <c r="Z54" i="445" s="1"/>
  <c r="Z9" i="445"/>
  <c r="Z49" i="445"/>
  <c r="X34" i="444"/>
  <c r="W81" i="444"/>
  <c r="Y73" i="451"/>
  <c r="Y82" i="451"/>
  <c r="Y53" i="451"/>
  <c r="Y55" i="451" s="1"/>
  <c r="Y52" i="451"/>
  <c r="Y73" i="454"/>
  <c r="Y82" i="454"/>
  <c r="Y52" i="454"/>
  <c r="Y53" i="454"/>
  <c r="Y55" i="454" s="1"/>
  <c r="X55" i="449"/>
  <c r="X55" i="453"/>
  <c r="X75" i="450"/>
  <c r="Z11" i="446"/>
  <c r="Z54" i="446" s="1"/>
  <c r="Z9" i="446"/>
  <c r="Z12" i="446"/>
  <c r="AA10" i="446"/>
  <c r="Z49" i="446"/>
  <c r="X75" i="448"/>
  <c r="X76" i="448" s="1"/>
  <c r="W77" i="448" s="1"/>
  <c r="W69" i="448" s="1"/>
  <c r="Y82" i="450"/>
  <c r="Y73" i="450"/>
  <c r="Y53" i="450"/>
  <c r="Y55" i="450" s="1"/>
  <c r="Y52" i="450"/>
  <c r="Y82" i="455"/>
  <c r="Y73" i="455"/>
  <c r="Y53" i="455"/>
  <c r="Y55" i="455" s="1"/>
  <c r="Y52" i="455"/>
  <c r="Z11" i="28"/>
  <c r="AB25" i="28"/>
  <c r="AC25" i="28" s="1"/>
  <c r="AB21" i="28"/>
  <c r="AC21" i="28" s="1"/>
  <c r="AB17" i="28"/>
  <c r="AB28" i="28"/>
  <c r="AC28" i="28" s="1"/>
  <c r="AB24" i="28"/>
  <c r="AC24" i="28" s="1"/>
  <c r="AB20" i="28"/>
  <c r="AB26" i="28"/>
  <c r="AC26" i="28" s="1"/>
  <c r="AB22" i="28"/>
  <c r="AC22" i="28" s="1"/>
  <c r="AB18" i="28"/>
  <c r="AC18" i="28" s="1"/>
  <c r="AB27" i="28"/>
  <c r="AC27" i="28" s="1"/>
  <c r="AB23" i="28"/>
  <c r="AC23" i="28" s="1"/>
  <c r="AB19" i="28"/>
  <c r="AC19" i="28" s="1"/>
  <c r="W76" i="444"/>
  <c r="V77" i="444" s="1"/>
  <c r="V69" i="444" s="1"/>
  <c r="Y53" i="445"/>
  <c r="Y55" i="445" s="1"/>
  <c r="Y73" i="445"/>
  <c r="Y52" i="445"/>
  <c r="Y82" i="445"/>
  <c r="X75" i="453"/>
  <c r="Z11" i="453"/>
  <c r="Z54" i="453" s="1"/>
  <c r="Z9" i="453"/>
  <c r="Z12" i="453"/>
  <c r="AA10" i="453"/>
  <c r="Z49" i="453"/>
  <c r="Z12" i="448"/>
  <c r="AA10" i="448"/>
  <c r="Z11" i="448"/>
  <c r="Z54" i="448" s="1"/>
  <c r="Z9" i="448"/>
  <c r="Z49" i="448"/>
  <c r="Y73" i="446"/>
  <c r="Y53" i="446"/>
  <c r="Y55" i="446" s="1"/>
  <c r="Y52" i="446"/>
  <c r="Y82" i="446"/>
  <c r="W76" i="449"/>
  <c r="V77" i="449" s="1"/>
  <c r="V69" i="449" s="1"/>
  <c r="Z12" i="452"/>
  <c r="Z9" i="452"/>
  <c r="Z11" i="452"/>
  <c r="Z54" i="452" s="1"/>
  <c r="AA10" i="452"/>
  <c r="Z49" i="452"/>
  <c r="Y82" i="452"/>
  <c r="Y52" i="452"/>
  <c r="Y53" i="452"/>
  <c r="Y55" i="452" s="1"/>
  <c r="Y73" i="452"/>
  <c r="Z12" i="449"/>
  <c r="Z9" i="449"/>
  <c r="Z11" i="449"/>
  <c r="Z54" i="449" s="1"/>
  <c r="AA10" i="449"/>
  <c r="Z49" i="449"/>
  <c r="Z14" i="28"/>
  <c r="Z13" i="28"/>
  <c r="AD8" i="28"/>
  <c r="Z31" i="28"/>
  <c r="AB9" i="28"/>
  <c r="AB14" i="28" s="1"/>
  <c r="AC17" i="28"/>
  <c r="AC20" i="28"/>
  <c r="Z30" i="28"/>
  <c r="Z34" i="28"/>
  <c r="X15" i="28"/>
  <c r="X32" i="28"/>
  <c r="AB11" i="28" l="1"/>
  <c r="Z82" i="452"/>
  <c r="Z52" i="452"/>
  <c r="Z53" i="452"/>
  <c r="Z55" i="452" s="1"/>
  <c r="Z73" i="452"/>
  <c r="Z82" i="448"/>
  <c r="Z73" i="448"/>
  <c r="Z53" i="448"/>
  <c r="Z55" i="448" s="1"/>
  <c r="Z52" i="448"/>
  <c r="AA11" i="452"/>
  <c r="AA54" i="452" s="1"/>
  <c r="AB10" i="452"/>
  <c r="AA12" i="452"/>
  <c r="AA9" i="452"/>
  <c r="AA49" i="452"/>
  <c r="Y75" i="446"/>
  <c r="X76" i="453"/>
  <c r="W77" i="453" s="1"/>
  <c r="W69" i="453" s="1"/>
  <c r="Y76" i="451"/>
  <c r="Y75" i="451"/>
  <c r="X81" i="444"/>
  <c r="Y34" i="444"/>
  <c r="Y76" i="449"/>
  <c r="X77" i="449" s="1"/>
  <c r="X69" i="449" s="1"/>
  <c r="Y75" i="449"/>
  <c r="Z73" i="455"/>
  <c r="Z82" i="455"/>
  <c r="Z53" i="455"/>
  <c r="Z55" i="455" s="1"/>
  <c r="Z52" i="455"/>
  <c r="Z66" i="455" s="1"/>
  <c r="Z82" i="450"/>
  <c r="Z53" i="450"/>
  <c r="Z55" i="450" s="1"/>
  <c r="Z52" i="450"/>
  <c r="Z66" i="450" s="1"/>
  <c r="Z73" i="450"/>
  <c r="AA11" i="451"/>
  <c r="AA54" i="451" s="1"/>
  <c r="AA9" i="451"/>
  <c r="AA12" i="451"/>
  <c r="AB10" i="451"/>
  <c r="AA49" i="451"/>
  <c r="AA82" i="447"/>
  <c r="AA52" i="447"/>
  <c r="AA66" i="447" s="1"/>
  <c r="AA53" i="447"/>
  <c r="AA55" i="447" s="1"/>
  <c r="AA73" i="447"/>
  <c r="Y75" i="448"/>
  <c r="Y76" i="448" s="1"/>
  <c r="X77" i="448" s="1"/>
  <c r="X69" i="448" s="1"/>
  <c r="Y75" i="453"/>
  <c r="L79" i="444"/>
  <c r="M70" i="444"/>
  <c r="Z73" i="444"/>
  <c r="Z53" i="444"/>
  <c r="Z55" i="444" s="1"/>
  <c r="Z52" i="444"/>
  <c r="Z66" i="444" s="1"/>
  <c r="Z82" i="444"/>
  <c r="AD26" i="28"/>
  <c r="AD22" i="28"/>
  <c r="AD18" i="28"/>
  <c r="AD25" i="28"/>
  <c r="AD21" i="28"/>
  <c r="AD17" i="28"/>
  <c r="AD27" i="28"/>
  <c r="AE27" i="28" s="1"/>
  <c r="AD23" i="28"/>
  <c r="AD19" i="28"/>
  <c r="AD28" i="28"/>
  <c r="AD24" i="28"/>
  <c r="AD20" i="28"/>
  <c r="Y75" i="452"/>
  <c r="Y76" i="452" s="1"/>
  <c r="X77" i="452" s="1"/>
  <c r="X69" i="452" s="1"/>
  <c r="AA12" i="453"/>
  <c r="AB10" i="453"/>
  <c r="AA11" i="453"/>
  <c r="AA54" i="453" s="1"/>
  <c r="AA9" i="453"/>
  <c r="AA49" i="453"/>
  <c r="Y75" i="445"/>
  <c r="Y76" i="445" s="1"/>
  <c r="X77" i="445" s="1"/>
  <c r="X69" i="445" s="1"/>
  <c r="X76" i="450"/>
  <c r="W77" i="450" s="1"/>
  <c r="W69" i="450" s="1"/>
  <c r="AA11" i="455"/>
  <c r="AA54" i="455" s="1"/>
  <c r="AA9" i="455"/>
  <c r="AA12" i="455"/>
  <c r="AB10" i="455"/>
  <c r="AA49" i="455"/>
  <c r="Z82" i="451"/>
  <c r="Z73" i="451"/>
  <c r="Z53" i="451"/>
  <c r="Z55" i="451" s="1"/>
  <c r="Z52" i="451"/>
  <c r="Z75" i="447"/>
  <c r="Z76" i="447" s="1"/>
  <c r="Y77" i="447" s="1"/>
  <c r="Y69" i="447" s="1"/>
  <c r="AB11" i="447"/>
  <c r="AB54" i="447" s="1"/>
  <c r="AC10" i="447"/>
  <c r="AB12" i="447"/>
  <c r="AB9" i="447"/>
  <c r="AB49" i="447"/>
  <c r="Z82" i="454"/>
  <c r="Z73" i="454"/>
  <c r="Z52" i="454"/>
  <c r="Z53" i="454"/>
  <c r="Z55" i="454" s="1"/>
  <c r="AA12" i="449"/>
  <c r="AA11" i="449"/>
  <c r="AA54" i="449" s="1"/>
  <c r="AB10" i="449"/>
  <c r="AA9" i="449"/>
  <c r="AA49" i="449"/>
  <c r="Z82" i="449"/>
  <c r="Z73" i="449"/>
  <c r="Z52" i="449"/>
  <c r="Z53" i="449"/>
  <c r="Z55" i="449" s="1"/>
  <c r="AA11" i="448"/>
  <c r="AA54" i="448" s="1"/>
  <c r="AA9" i="448"/>
  <c r="AA12" i="448"/>
  <c r="AB10" i="448"/>
  <c r="AA49" i="448"/>
  <c r="Z82" i="453"/>
  <c r="Z73" i="453"/>
  <c r="Z52" i="453"/>
  <c r="Z66" i="453" s="1"/>
  <c r="Z53" i="453"/>
  <c r="AA12" i="446"/>
  <c r="AB10" i="446"/>
  <c r="AA11" i="446"/>
  <c r="AA54" i="446" s="1"/>
  <c r="AA9" i="446"/>
  <c r="AA49" i="446"/>
  <c r="AA11" i="445"/>
  <c r="AA54" i="445" s="1"/>
  <c r="AA9" i="445"/>
  <c r="AA12" i="445"/>
  <c r="AB10" i="445"/>
  <c r="AA49" i="445"/>
  <c r="Y75" i="444"/>
  <c r="AA12" i="454"/>
  <c r="AA11" i="454"/>
  <c r="AA54" i="454" s="1"/>
  <c r="AB10" i="454"/>
  <c r="AA9" i="454"/>
  <c r="AA49" i="454"/>
  <c r="Y75" i="455"/>
  <c r="Y75" i="450"/>
  <c r="Z82" i="446"/>
  <c r="Z73" i="446"/>
  <c r="Z53" i="446"/>
  <c r="Z55" i="446" s="1"/>
  <c r="Z52" i="446"/>
  <c r="Y75" i="454"/>
  <c r="Y76" i="454" s="1"/>
  <c r="X77" i="454" s="1"/>
  <c r="X69" i="454" s="1"/>
  <c r="Z73" i="445"/>
  <c r="Z52" i="445"/>
  <c r="Z82" i="445"/>
  <c r="Z53" i="445"/>
  <c r="Z55" i="445" s="1"/>
  <c r="AA11" i="450"/>
  <c r="AA54" i="450" s="1"/>
  <c r="AA9" i="450"/>
  <c r="AA12" i="450"/>
  <c r="AB10" i="450"/>
  <c r="AA49" i="450"/>
  <c r="X77" i="451"/>
  <c r="X69" i="451" s="1"/>
  <c r="X76" i="444"/>
  <c r="W77" i="444" s="1"/>
  <c r="W69" i="444" s="1"/>
  <c r="AA12" i="444"/>
  <c r="AB10" i="444"/>
  <c r="AA11" i="444"/>
  <c r="AA54" i="444" s="1"/>
  <c r="AA9" i="444"/>
  <c r="AA49" i="444"/>
  <c r="AA68" i="444"/>
  <c r="AA56" i="444"/>
  <c r="AE22" i="28"/>
  <c r="AE21" i="28"/>
  <c r="AE26" i="28"/>
  <c r="AE17" i="28"/>
  <c r="AE23" i="28"/>
  <c r="AE18" i="28"/>
  <c r="AD9" i="28"/>
  <c r="AD13" i="28" s="1"/>
  <c r="AE25" i="28"/>
  <c r="AE20" i="28"/>
  <c r="AE24" i="28"/>
  <c r="AE28" i="28"/>
  <c r="AE19" i="28"/>
  <c r="Z15" i="28"/>
  <c r="Z32" i="28"/>
  <c r="AB30" i="28"/>
  <c r="AB12" i="28"/>
  <c r="AB31" i="28"/>
  <c r="AB13" i="28"/>
  <c r="AB34" i="28"/>
  <c r="AG21" i="28"/>
  <c r="AG27" i="28"/>
  <c r="AB12" i="445" l="1"/>
  <c r="AC10" i="445"/>
  <c r="AB11" i="445"/>
  <c r="AB54" i="445" s="1"/>
  <c r="AB9" i="445"/>
  <c r="AB49" i="445"/>
  <c r="Z55" i="453"/>
  <c r="AB11" i="449"/>
  <c r="AB54" i="449" s="1"/>
  <c r="AC10" i="449"/>
  <c r="AB12" i="449"/>
  <c r="AB9" i="449"/>
  <c r="AB49" i="449"/>
  <c r="AA73" i="453"/>
  <c r="AA82" i="453"/>
  <c r="AA53" i="453"/>
  <c r="AA55" i="453" s="1"/>
  <c r="AA52" i="453"/>
  <c r="Y81" i="444"/>
  <c r="Z34" i="444"/>
  <c r="AB11" i="452"/>
  <c r="AB54" i="452" s="1"/>
  <c r="AC10" i="452"/>
  <c r="AB12" i="452"/>
  <c r="AB9" i="452"/>
  <c r="AB49" i="452"/>
  <c r="Z75" i="446"/>
  <c r="AB11" i="454"/>
  <c r="AB54" i="454" s="1"/>
  <c r="AC10" i="454"/>
  <c r="AB12" i="454"/>
  <c r="AB9" i="454"/>
  <c r="AB49" i="454"/>
  <c r="AA73" i="445"/>
  <c r="AA52" i="445"/>
  <c r="AA82" i="445"/>
  <c r="AA53" i="445"/>
  <c r="AA55" i="445" s="1"/>
  <c r="AC11" i="447"/>
  <c r="AC54" i="447" s="1"/>
  <c r="AC12" i="447"/>
  <c r="AC9" i="447"/>
  <c r="AD10" i="447"/>
  <c r="AC49" i="447"/>
  <c r="Z75" i="451"/>
  <c r="AB12" i="451"/>
  <c r="AC10" i="451"/>
  <c r="AB11" i="451"/>
  <c r="AB54" i="451" s="1"/>
  <c r="AB9" i="451"/>
  <c r="AB49" i="451"/>
  <c r="Z75" i="450"/>
  <c r="Z76" i="450" s="1"/>
  <c r="Y77" i="450" s="1"/>
  <c r="Y69" i="450" s="1"/>
  <c r="Z75" i="455"/>
  <c r="Z75" i="445"/>
  <c r="Z76" i="445" s="1"/>
  <c r="Y77" i="445" s="1"/>
  <c r="Y69" i="445" s="1"/>
  <c r="AB49" i="444"/>
  <c r="AB11" i="444"/>
  <c r="AB54" i="444" s="1"/>
  <c r="AB9" i="444"/>
  <c r="AB12" i="444"/>
  <c r="AC10" i="444"/>
  <c r="AB68" i="444"/>
  <c r="AB56" i="444"/>
  <c r="AA73" i="450"/>
  <c r="AA53" i="450"/>
  <c r="AA55" i="450" s="1"/>
  <c r="AA52" i="450"/>
  <c r="AA66" i="450" s="1"/>
  <c r="AA82" i="450"/>
  <c r="Y76" i="450"/>
  <c r="X77" i="450" s="1"/>
  <c r="X69" i="450" s="1"/>
  <c r="Y76" i="455"/>
  <c r="X77" i="455" s="1"/>
  <c r="X69" i="455" s="1"/>
  <c r="Y76" i="444"/>
  <c r="X77" i="444" s="1"/>
  <c r="X69" i="444" s="1"/>
  <c r="AB11" i="446"/>
  <c r="AB54" i="446" s="1"/>
  <c r="AB9" i="446"/>
  <c r="AB12" i="446"/>
  <c r="AC10" i="446"/>
  <c r="AB49" i="446"/>
  <c r="AB11" i="448"/>
  <c r="AB54" i="448" s="1"/>
  <c r="AB9" i="448"/>
  <c r="AB12" i="448"/>
  <c r="AC10" i="448"/>
  <c r="AB49" i="448"/>
  <c r="AA73" i="449"/>
  <c r="AA82" i="449"/>
  <c r="AA52" i="449"/>
  <c r="AA53" i="449"/>
  <c r="AA55" i="449" s="1"/>
  <c r="AB11" i="455"/>
  <c r="AB54" i="455" s="1"/>
  <c r="AB9" i="455"/>
  <c r="AB12" i="455"/>
  <c r="AC10" i="455"/>
  <c r="AB49" i="455"/>
  <c r="Z75" i="444"/>
  <c r="Z76" i="444" s="1"/>
  <c r="Y77" i="444" s="1"/>
  <c r="Y69" i="444" s="1"/>
  <c r="AA82" i="451"/>
  <c r="AA53" i="451"/>
  <c r="AA55" i="451" s="1"/>
  <c r="AA52" i="451"/>
  <c r="AA73" i="451"/>
  <c r="AA53" i="452"/>
  <c r="AA55" i="452" s="1"/>
  <c r="AA82" i="452"/>
  <c r="AA73" i="452"/>
  <c r="AA52" i="452"/>
  <c r="AA66" i="452" s="1"/>
  <c r="Z75" i="448"/>
  <c r="Z76" i="448" s="1"/>
  <c r="Y77" i="448" s="1"/>
  <c r="Y69" i="448" s="1"/>
  <c r="Z75" i="452"/>
  <c r="Z76" i="452" s="1"/>
  <c r="Y77" i="452" s="1"/>
  <c r="Y69" i="452" s="1"/>
  <c r="AB11" i="450"/>
  <c r="AB54" i="450" s="1"/>
  <c r="AB9" i="450"/>
  <c r="AB12" i="450"/>
  <c r="AC10" i="450"/>
  <c r="AB49" i="450"/>
  <c r="AA82" i="444"/>
  <c r="AA73" i="444"/>
  <c r="AA53" i="444"/>
  <c r="AA55" i="444" s="1"/>
  <c r="AA52" i="444"/>
  <c r="AA66" i="444" s="1"/>
  <c r="AA82" i="454"/>
  <c r="AA73" i="454"/>
  <c r="AA52" i="454"/>
  <c r="AA53" i="454"/>
  <c r="AA55" i="454" s="1"/>
  <c r="AA82" i="446"/>
  <c r="AA73" i="446"/>
  <c r="AA53" i="446"/>
  <c r="AA55" i="446" s="1"/>
  <c r="AA52" i="446"/>
  <c r="Z75" i="453"/>
  <c r="AA82" i="448"/>
  <c r="AA73" i="448"/>
  <c r="AA53" i="448"/>
  <c r="AA55" i="448" s="1"/>
  <c r="AA52" i="448"/>
  <c r="Z75" i="449"/>
  <c r="Z76" i="449" s="1"/>
  <c r="Y77" i="449" s="1"/>
  <c r="Y69" i="449" s="1"/>
  <c r="Z75" i="454"/>
  <c r="Z76" i="454" s="1"/>
  <c r="Y77" i="454" s="1"/>
  <c r="Y69" i="454" s="1"/>
  <c r="AB53" i="447"/>
  <c r="AB55" i="447" s="1"/>
  <c r="AB73" i="447"/>
  <c r="AB82" i="447"/>
  <c r="AB52" i="447"/>
  <c r="AA82" i="455"/>
  <c r="AA73" i="455"/>
  <c r="AA53" i="455"/>
  <c r="AA52" i="455"/>
  <c r="AA66" i="455" s="1"/>
  <c r="AB11" i="453"/>
  <c r="AB54" i="453" s="1"/>
  <c r="AB9" i="453"/>
  <c r="AB12" i="453"/>
  <c r="AC10" i="453"/>
  <c r="AB49" i="453"/>
  <c r="M79" i="444"/>
  <c r="N70" i="444"/>
  <c r="Y76" i="453"/>
  <c r="X77" i="453" s="1"/>
  <c r="X69" i="453" s="1"/>
  <c r="AA75" i="447"/>
  <c r="AA76" i="447" s="1"/>
  <c r="Z77" i="447" s="1"/>
  <c r="Z69" i="447" s="1"/>
  <c r="Y76" i="446"/>
  <c r="X77" i="446" s="1"/>
  <c r="X69" i="446" s="1"/>
  <c r="AG26" i="28"/>
  <c r="AG20" i="28"/>
  <c r="AG18" i="28"/>
  <c r="AG24" i="28"/>
  <c r="AG23" i="28"/>
  <c r="AG22" i="28"/>
  <c r="AG17" i="28"/>
  <c r="AG25" i="28"/>
  <c r="AD31" i="28"/>
  <c r="AG31" i="28" s="1"/>
  <c r="AG19" i="28"/>
  <c r="AD12" i="28"/>
  <c r="AD11" i="28"/>
  <c r="AD30" i="28"/>
  <c r="AG30" i="28" s="1"/>
  <c r="AD14" i="28"/>
  <c r="AD34" i="28"/>
  <c r="AG34" i="28" s="1"/>
  <c r="AG28" i="28"/>
  <c r="AB32" i="28"/>
  <c r="AB15" i="28"/>
  <c r="N79" i="444" l="1"/>
  <c r="O70" i="444"/>
  <c r="AB82" i="453"/>
  <c r="AB73" i="453"/>
  <c r="AB53" i="453"/>
  <c r="AB55" i="453" s="1"/>
  <c r="AB52" i="453"/>
  <c r="AA75" i="455"/>
  <c r="AA76" i="446"/>
  <c r="AA75" i="446"/>
  <c r="AB73" i="448"/>
  <c r="AB53" i="448"/>
  <c r="AB55" i="448" s="1"/>
  <c r="AB52" i="448"/>
  <c r="AB82" i="448"/>
  <c r="AC49" i="446"/>
  <c r="AC11" i="446"/>
  <c r="AC54" i="446" s="1"/>
  <c r="AC9" i="446"/>
  <c r="AC12" i="446"/>
  <c r="AD10" i="446"/>
  <c r="AC12" i="444"/>
  <c r="AD10" i="444"/>
  <c r="AC11" i="444"/>
  <c r="AC54" i="444" s="1"/>
  <c r="AC9" i="444"/>
  <c r="AC49" i="444"/>
  <c r="AC68" i="444"/>
  <c r="AC56" i="444"/>
  <c r="AC73" i="447"/>
  <c r="AC82" i="447"/>
  <c r="AC52" i="447"/>
  <c r="AC53" i="447"/>
  <c r="AC55" i="447" s="1"/>
  <c r="AA75" i="445"/>
  <c r="AA76" i="445" s="1"/>
  <c r="Z77" i="445" s="1"/>
  <c r="Z69" i="445" s="1"/>
  <c r="AB73" i="454"/>
  <c r="AB82" i="454"/>
  <c r="AB53" i="454"/>
  <c r="AB55" i="454" s="1"/>
  <c r="AB52" i="454"/>
  <c r="AB82" i="445"/>
  <c r="AB53" i="445"/>
  <c r="AB55" i="445" s="1"/>
  <c r="AB73" i="445"/>
  <c r="AB52" i="445"/>
  <c r="AB75" i="447"/>
  <c r="AB76" i="447" s="1"/>
  <c r="AA77" i="447" s="1"/>
  <c r="AA69" i="447" s="1"/>
  <c r="AA75" i="454"/>
  <c r="AA75" i="452"/>
  <c r="AA76" i="452" s="1"/>
  <c r="Z77" i="452" s="1"/>
  <c r="Z69" i="452" s="1"/>
  <c r="AC11" i="455"/>
  <c r="AC54" i="455" s="1"/>
  <c r="AC12" i="455"/>
  <c r="AD10" i="455"/>
  <c r="AC9" i="455"/>
  <c r="AC49" i="455"/>
  <c r="AB82" i="446"/>
  <c r="AB73" i="446"/>
  <c r="AB53" i="446"/>
  <c r="AB55" i="446" s="1"/>
  <c r="AB52" i="446"/>
  <c r="AB82" i="444"/>
  <c r="AB73" i="444"/>
  <c r="AB53" i="444"/>
  <c r="AB55" i="444" s="1"/>
  <c r="AB52" i="444"/>
  <c r="Z76" i="455"/>
  <c r="Y77" i="455" s="1"/>
  <c r="Y69" i="455" s="1"/>
  <c r="AC11" i="451"/>
  <c r="AC54" i="451" s="1"/>
  <c r="AC12" i="451"/>
  <c r="AD10" i="451"/>
  <c r="AC9" i="451"/>
  <c r="AC49" i="451"/>
  <c r="AC11" i="454"/>
  <c r="AC54" i="454" s="1"/>
  <c r="AC12" i="454"/>
  <c r="AC9" i="454"/>
  <c r="AD10" i="454"/>
  <c r="AC49" i="454"/>
  <c r="AC12" i="452"/>
  <c r="AC9" i="452"/>
  <c r="AC11" i="452"/>
  <c r="AC54" i="452" s="1"/>
  <c r="AD10" i="452"/>
  <c r="AC49" i="452"/>
  <c r="Z81" i="444"/>
  <c r="AA34" i="444"/>
  <c r="AA75" i="453"/>
  <c r="AA76" i="453" s="1"/>
  <c r="Z77" i="453" s="1"/>
  <c r="Z69" i="453" s="1"/>
  <c r="AC11" i="449"/>
  <c r="AC54" i="449" s="1"/>
  <c r="AC12" i="449"/>
  <c r="AC9" i="449"/>
  <c r="AD10" i="449"/>
  <c r="AC49" i="449"/>
  <c r="AA75" i="448"/>
  <c r="AA76" i="448" s="1"/>
  <c r="Z77" i="448" s="1"/>
  <c r="Z69" i="448" s="1"/>
  <c r="AA75" i="444"/>
  <c r="AA76" i="444" s="1"/>
  <c r="Z77" i="444" s="1"/>
  <c r="Z69" i="444" s="1"/>
  <c r="AC12" i="450"/>
  <c r="AD10" i="450"/>
  <c r="AC11" i="450"/>
  <c r="AC54" i="450" s="1"/>
  <c r="AC9" i="450"/>
  <c r="AC49" i="450"/>
  <c r="AB82" i="455"/>
  <c r="AB73" i="455"/>
  <c r="AB53" i="455"/>
  <c r="AB55" i="455" s="1"/>
  <c r="AB52" i="455"/>
  <c r="AB66" i="455" s="1"/>
  <c r="AB82" i="451"/>
  <c r="AB73" i="451"/>
  <c r="AB53" i="451"/>
  <c r="AB55" i="451" s="1"/>
  <c r="AB52" i="451"/>
  <c r="AD12" i="447"/>
  <c r="AD9" i="447"/>
  <c r="AD11" i="447"/>
  <c r="AD54" i="447" s="1"/>
  <c r="AE10" i="447"/>
  <c r="AD49" i="447"/>
  <c r="Z77" i="446"/>
  <c r="Z69" i="446" s="1"/>
  <c r="AC11" i="453"/>
  <c r="AC54" i="453" s="1"/>
  <c r="AC12" i="453"/>
  <c r="AD10" i="453"/>
  <c r="AC9" i="453"/>
  <c r="AC49" i="453"/>
  <c r="AA55" i="455"/>
  <c r="Z76" i="453"/>
  <c r="Y77" i="453" s="1"/>
  <c r="Y69" i="453" s="1"/>
  <c r="AB82" i="450"/>
  <c r="AB53" i="450"/>
  <c r="AB55" i="450" s="1"/>
  <c r="AB52" i="450"/>
  <c r="AB73" i="450"/>
  <c r="AA75" i="451"/>
  <c r="AA76" i="451" s="1"/>
  <c r="Z77" i="451" s="1"/>
  <c r="Z69" i="451" s="1"/>
  <c r="AA75" i="449"/>
  <c r="AA76" i="449" s="1"/>
  <c r="Z77" i="449" s="1"/>
  <c r="Z69" i="449" s="1"/>
  <c r="AC11" i="448"/>
  <c r="AC54" i="448" s="1"/>
  <c r="AC9" i="448"/>
  <c r="AC12" i="448"/>
  <c r="AD10" i="448"/>
  <c r="AC49" i="448"/>
  <c r="AA75" i="450"/>
  <c r="Z76" i="451"/>
  <c r="Y77" i="451" s="1"/>
  <c r="Y69" i="451" s="1"/>
  <c r="Z76" i="446"/>
  <c r="Y77" i="446" s="1"/>
  <c r="Y69" i="446" s="1"/>
  <c r="AB82" i="452"/>
  <c r="AB73" i="452"/>
  <c r="AB52" i="452"/>
  <c r="AB66" i="452" s="1"/>
  <c r="AB53" i="452"/>
  <c r="AB55" i="452" s="1"/>
  <c r="AB73" i="449"/>
  <c r="AB53" i="449"/>
  <c r="AB55" i="449" s="1"/>
  <c r="AB82" i="449"/>
  <c r="AB52" i="449"/>
  <c r="AB66" i="449" s="1"/>
  <c r="AC12" i="445"/>
  <c r="AD10" i="445"/>
  <c r="AC11" i="445"/>
  <c r="AC54" i="445" s="1"/>
  <c r="AC9" i="445"/>
  <c r="AC49" i="445"/>
  <c r="AD32" i="28"/>
  <c r="AG32" i="28" s="1"/>
  <c r="AD15" i="28"/>
  <c r="AB75" i="452" l="1"/>
  <c r="AB76" i="452" s="1"/>
  <c r="AA77" i="452" s="1"/>
  <c r="AA69" i="452" s="1"/>
  <c r="AD12" i="445"/>
  <c r="AD11" i="445"/>
  <c r="AD54" i="445" s="1"/>
  <c r="AG54" i="445" s="1"/>
  <c r="B14" i="1" s="1"/>
  <c r="AD9" i="445"/>
  <c r="AD49" i="445"/>
  <c r="AG49" i="445" s="1"/>
  <c r="AD11" i="453"/>
  <c r="AD54" i="453" s="1"/>
  <c r="AD9" i="453"/>
  <c r="AD12" i="453"/>
  <c r="AE10" i="453"/>
  <c r="AD49" i="453"/>
  <c r="AD11" i="450"/>
  <c r="AD54" i="450" s="1"/>
  <c r="AD12" i="450"/>
  <c r="AE10" i="450"/>
  <c r="AD9" i="450"/>
  <c r="AD49" i="450"/>
  <c r="AC82" i="449"/>
  <c r="AC52" i="449"/>
  <c r="AC66" i="449" s="1"/>
  <c r="AC73" i="449"/>
  <c r="AC53" i="449"/>
  <c r="AC55" i="449" s="1"/>
  <c r="AC82" i="452"/>
  <c r="AC52" i="452"/>
  <c r="AC53" i="452"/>
  <c r="AC55" i="452" s="1"/>
  <c r="AC73" i="452"/>
  <c r="AD12" i="454"/>
  <c r="AD9" i="454"/>
  <c r="AD11" i="454"/>
  <c r="AD54" i="454" s="1"/>
  <c r="AE10" i="454"/>
  <c r="AD49" i="454"/>
  <c r="AB75" i="446"/>
  <c r="AB76" i="446" s="1"/>
  <c r="AA77" i="446" s="1"/>
  <c r="AA69" i="446" s="1"/>
  <c r="AD12" i="455"/>
  <c r="AD11" i="455"/>
  <c r="AD54" i="455" s="1"/>
  <c r="AD9" i="455"/>
  <c r="AE10" i="455"/>
  <c r="AD49" i="455"/>
  <c r="AB75" i="454"/>
  <c r="AC75" i="447"/>
  <c r="AC76" i="447" s="1"/>
  <c r="AB77" i="447" s="1"/>
  <c r="AB69" i="447" s="1"/>
  <c r="AD11" i="444"/>
  <c r="AD54" i="444" s="1"/>
  <c r="AD9" i="444"/>
  <c r="AD12" i="444"/>
  <c r="AE10" i="444"/>
  <c r="AD49" i="444"/>
  <c r="AD56" i="444"/>
  <c r="AD68" i="444"/>
  <c r="AC73" i="446"/>
  <c r="AC82" i="446"/>
  <c r="AC53" i="446"/>
  <c r="AC55" i="446" s="1"/>
  <c r="AC52" i="446"/>
  <c r="AC66" i="446" s="1"/>
  <c r="O79" i="444"/>
  <c r="P70" i="444"/>
  <c r="AD12" i="448"/>
  <c r="AE10" i="448"/>
  <c r="AD11" i="448"/>
  <c r="AD54" i="448" s="1"/>
  <c r="AD9" i="448"/>
  <c r="AD49" i="448"/>
  <c r="AB75" i="450"/>
  <c r="AC82" i="453"/>
  <c r="AC73" i="453"/>
  <c r="AC53" i="453"/>
  <c r="AC55" i="453" s="1"/>
  <c r="AC52" i="453"/>
  <c r="AE12" i="447"/>
  <c r="AE11" i="447"/>
  <c r="AE54" i="447" s="1"/>
  <c r="AH54" i="447" s="1"/>
  <c r="B16" i="1" s="1"/>
  <c r="AE9" i="447"/>
  <c r="AE49" i="447"/>
  <c r="AH49" i="447" s="1"/>
  <c r="AD82" i="447"/>
  <c r="AD52" i="447"/>
  <c r="AD53" i="447"/>
  <c r="AD55" i="447" s="1"/>
  <c r="AD73" i="447"/>
  <c r="AC82" i="450"/>
  <c r="AC73" i="450"/>
  <c r="AC53" i="450"/>
  <c r="AC55" i="450" s="1"/>
  <c r="AC52" i="450"/>
  <c r="AD12" i="449"/>
  <c r="AD9" i="449"/>
  <c r="AD11" i="449"/>
  <c r="AD54" i="449" s="1"/>
  <c r="AE10" i="449"/>
  <c r="AD49" i="449"/>
  <c r="AD12" i="452"/>
  <c r="AD9" i="452"/>
  <c r="AD11" i="452"/>
  <c r="AD54" i="452" s="1"/>
  <c r="AE10" i="452"/>
  <c r="AD49" i="452"/>
  <c r="AC82" i="455"/>
  <c r="AC73" i="455"/>
  <c r="AC53" i="455"/>
  <c r="AC52" i="455"/>
  <c r="AB75" i="445"/>
  <c r="AB76" i="445" s="1"/>
  <c r="AA77" i="445" s="1"/>
  <c r="AA69" i="445" s="1"/>
  <c r="AC82" i="444"/>
  <c r="AC73" i="444"/>
  <c r="AC53" i="444"/>
  <c r="AC55" i="444" s="1"/>
  <c r="AC52" i="444"/>
  <c r="AB75" i="453"/>
  <c r="AB76" i="453" s="1"/>
  <c r="AA77" i="453" s="1"/>
  <c r="AA69" i="453" s="1"/>
  <c r="AC53" i="445"/>
  <c r="AC55" i="445" s="1"/>
  <c r="AC73" i="445"/>
  <c r="AC52" i="445"/>
  <c r="AC82" i="445"/>
  <c r="AB75" i="449"/>
  <c r="AB76" i="449" s="1"/>
  <c r="AA77" i="449" s="1"/>
  <c r="AA69" i="449" s="1"/>
  <c r="AC73" i="448"/>
  <c r="AC53" i="448"/>
  <c r="AC55" i="448" s="1"/>
  <c r="AC52" i="448"/>
  <c r="AC82" i="448"/>
  <c r="AB34" i="444"/>
  <c r="AA81" i="444"/>
  <c r="AC73" i="454"/>
  <c r="AC82" i="454"/>
  <c r="AC52" i="454"/>
  <c r="AC66" i="454" s="1"/>
  <c r="AC53" i="454"/>
  <c r="AC55" i="454" s="1"/>
  <c r="AD11" i="451"/>
  <c r="AD54" i="451" s="1"/>
  <c r="AD9" i="451"/>
  <c r="AD12" i="451"/>
  <c r="AE10" i="451"/>
  <c r="AD49" i="451"/>
  <c r="AB75" i="444"/>
  <c r="AB76" i="444" s="1"/>
  <c r="AA77" i="444" s="1"/>
  <c r="AA69" i="444" s="1"/>
  <c r="AA76" i="454"/>
  <c r="Z77" i="454" s="1"/>
  <c r="Z69" i="454" s="1"/>
  <c r="AA76" i="455"/>
  <c r="Z77" i="455" s="1"/>
  <c r="Z69" i="455" s="1"/>
  <c r="AA76" i="450"/>
  <c r="Z77" i="450" s="1"/>
  <c r="Z69" i="450" s="1"/>
  <c r="AB75" i="451"/>
  <c r="AB76" i="451" s="1"/>
  <c r="AA77" i="451" s="1"/>
  <c r="AA69" i="451" s="1"/>
  <c r="AB75" i="455"/>
  <c r="AC73" i="451"/>
  <c r="AC82" i="451"/>
  <c r="AC53" i="451"/>
  <c r="AC55" i="451" s="1"/>
  <c r="AC52" i="451"/>
  <c r="AD11" i="446"/>
  <c r="AD54" i="446" s="1"/>
  <c r="AD9" i="446"/>
  <c r="AD12" i="446"/>
  <c r="AE10" i="446"/>
  <c r="AD49" i="446"/>
  <c r="AB75" i="448"/>
  <c r="AD82" i="446" l="1"/>
  <c r="AD53" i="446"/>
  <c r="AD55" i="446" s="1"/>
  <c r="AD52" i="446"/>
  <c r="AD66" i="446" s="1"/>
  <c r="AD73" i="446"/>
  <c r="AE11" i="451"/>
  <c r="AE54" i="451" s="1"/>
  <c r="AE9" i="451"/>
  <c r="AE12" i="451"/>
  <c r="AF10" i="451"/>
  <c r="AE49" i="451"/>
  <c r="AC34" i="444"/>
  <c r="AB81" i="444"/>
  <c r="AC75" i="445"/>
  <c r="AC76" i="445" s="1"/>
  <c r="AB77" i="445" s="1"/>
  <c r="AB69" i="445" s="1"/>
  <c r="AD82" i="448"/>
  <c r="AD73" i="448"/>
  <c r="AD53" i="448"/>
  <c r="AD55" i="448" s="1"/>
  <c r="AD52" i="448"/>
  <c r="AD82" i="454"/>
  <c r="AD73" i="454"/>
  <c r="AD52" i="454"/>
  <c r="AD66" i="454" s="1"/>
  <c r="AD53" i="454"/>
  <c r="AD55" i="454" s="1"/>
  <c r="AB76" i="448"/>
  <c r="AA77" i="448" s="1"/>
  <c r="AA69" i="448" s="1"/>
  <c r="AB76" i="455"/>
  <c r="AA77" i="455" s="1"/>
  <c r="AA69" i="455" s="1"/>
  <c r="AC75" i="454"/>
  <c r="AC75" i="448"/>
  <c r="AC76" i="448" s="1"/>
  <c r="AB77" i="448" s="1"/>
  <c r="AB69" i="448" s="1"/>
  <c r="AC55" i="455"/>
  <c r="AE12" i="449"/>
  <c r="AE11" i="449"/>
  <c r="AE54" i="449" s="1"/>
  <c r="AH54" i="449" s="1"/>
  <c r="B18" i="1" s="1"/>
  <c r="AE9" i="449"/>
  <c r="AE49" i="449"/>
  <c r="AH49" i="449" s="1"/>
  <c r="AD52" i="449"/>
  <c r="AD82" i="449"/>
  <c r="AD73" i="449"/>
  <c r="AD53" i="449"/>
  <c r="AD55" i="449" s="1"/>
  <c r="AC75" i="450"/>
  <c r="AD75" i="447"/>
  <c r="AE12" i="444"/>
  <c r="AF10" i="444"/>
  <c r="AE11" i="444"/>
  <c r="AE54" i="444" s="1"/>
  <c r="AE9" i="444"/>
  <c r="AE49" i="444"/>
  <c r="AE68" i="444"/>
  <c r="AE56" i="444"/>
  <c r="AD73" i="455"/>
  <c r="AD82" i="455"/>
  <c r="AD53" i="455"/>
  <c r="AD55" i="455" s="1"/>
  <c r="AD52" i="455"/>
  <c r="AE12" i="454"/>
  <c r="AE11" i="454"/>
  <c r="AE54" i="454" s="1"/>
  <c r="AH54" i="454" s="1"/>
  <c r="B23" i="1" s="1"/>
  <c r="AE9" i="454"/>
  <c r="AE49" i="454"/>
  <c r="AH49" i="454" s="1"/>
  <c r="AE12" i="453"/>
  <c r="AF10" i="453"/>
  <c r="AE11" i="453"/>
  <c r="AE54" i="453" s="1"/>
  <c r="AE9" i="453"/>
  <c r="AE49" i="453"/>
  <c r="AD73" i="445"/>
  <c r="AD52" i="445"/>
  <c r="AD66" i="445" s="1"/>
  <c r="AD82" i="445"/>
  <c r="AD53" i="445"/>
  <c r="AD82" i="451"/>
  <c r="AD53" i="451"/>
  <c r="AD55" i="451" s="1"/>
  <c r="AD52" i="451"/>
  <c r="AD66" i="451" s="1"/>
  <c r="AD73" i="451"/>
  <c r="AC75" i="444"/>
  <c r="AD82" i="452"/>
  <c r="AD52" i="452"/>
  <c r="AD53" i="452"/>
  <c r="AD55" i="452" s="1"/>
  <c r="AD73" i="452"/>
  <c r="AC75" i="453"/>
  <c r="AD73" i="444"/>
  <c r="AD53" i="444"/>
  <c r="AD55" i="444" s="1"/>
  <c r="AD52" i="444"/>
  <c r="AD82" i="444"/>
  <c r="AE11" i="455"/>
  <c r="AE54" i="455" s="1"/>
  <c r="AE9" i="455"/>
  <c r="AE12" i="455"/>
  <c r="AF10" i="455"/>
  <c r="AE49" i="455"/>
  <c r="AC75" i="449"/>
  <c r="AE11" i="450"/>
  <c r="AE54" i="450" s="1"/>
  <c r="AE9" i="450"/>
  <c r="AE12" i="450"/>
  <c r="AF10" i="450"/>
  <c r="AE49" i="450"/>
  <c r="AD82" i="453"/>
  <c r="AD73" i="453"/>
  <c r="AD53" i="453"/>
  <c r="AD55" i="453" s="1"/>
  <c r="AD52" i="453"/>
  <c r="AC75" i="451"/>
  <c r="AE12" i="446"/>
  <c r="AF10" i="446"/>
  <c r="AE11" i="446"/>
  <c r="AE54" i="446" s="1"/>
  <c r="AE9" i="446"/>
  <c r="AE49" i="446"/>
  <c r="AC75" i="455"/>
  <c r="AC76" i="455" s="1"/>
  <c r="AB77" i="455" s="1"/>
  <c r="AB69" i="455" s="1"/>
  <c r="AE11" i="452"/>
  <c r="AE54" i="452" s="1"/>
  <c r="AH54" i="452" s="1"/>
  <c r="B21" i="1" s="1"/>
  <c r="AE12" i="452"/>
  <c r="AE9" i="452"/>
  <c r="AE49" i="452"/>
  <c r="AH49" i="452" s="1"/>
  <c r="AE82" i="447"/>
  <c r="AE52" i="447"/>
  <c r="AE53" i="447"/>
  <c r="AE73" i="447"/>
  <c r="AB76" i="450"/>
  <c r="AA77" i="450" s="1"/>
  <c r="AA69" i="450" s="1"/>
  <c r="AE11" i="448"/>
  <c r="AE54" i="448" s="1"/>
  <c r="AE9" i="448"/>
  <c r="AE12" i="448"/>
  <c r="AF10" i="448"/>
  <c r="AE49" i="448"/>
  <c r="P79" i="444"/>
  <c r="Q70" i="444"/>
  <c r="AC75" i="446"/>
  <c r="AB76" i="454"/>
  <c r="AA77" i="454" s="1"/>
  <c r="AA69" i="454" s="1"/>
  <c r="AC75" i="452"/>
  <c r="AC76" i="452" s="1"/>
  <c r="AB77" i="452" s="1"/>
  <c r="AB69" i="452" s="1"/>
  <c r="AD82" i="450"/>
  <c r="AD73" i="450"/>
  <c r="AD53" i="450"/>
  <c r="AD55" i="450" s="1"/>
  <c r="AD52" i="450"/>
  <c r="AD75" i="450" l="1"/>
  <c r="AE75" i="447"/>
  <c r="AE77" i="447" s="1"/>
  <c r="AE69" i="447" s="1"/>
  <c r="AH73" i="447"/>
  <c r="AI82" i="447"/>
  <c r="AH82" i="447"/>
  <c r="AF11" i="446"/>
  <c r="AF54" i="446" s="1"/>
  <c r="AI54" i="446" s="1"/>
  <c r="B15" i="1" s="1"/>
  <c r="AF9" i="446"/>
  <c r="AF12" i="446"/>
  <c r="AF49" i="446"/>
  <c r="AI49" i="446" s="1"/>
  <c r="AD75" i="452"/>
  <c r="AD76" i="452" s="1"/>
  <c r="AC77" i="452" s="1"/>
  <c r="AC69" i="452" s="1"/>
  <c r="AH82" i="445"/>
  <c r="AG82" i="445"/>
  <c r="AD75" i="455"/>
  <c r="AD76" i="455" s="1"/>
  <c r="AC77" i="455" s="1"/>
  <c r="AC69" i="455" s="1"/>
  <c r="AF49" i="444"/>
  <c r="AI49" i="444" s="1"/>
  <c r="AF11" i="444"/>
  <c r="AF54" i="444" s="1"/>
  <c r="AI54" i="444" s="1"/>
  <c r="B13" i="1" s="1"/>
  <c r="AF9" i="444"/>
  <c r="AF12" i="444"/>
  <c r="AF68" i="444"/>
  <c r="AN68" i="444" s="1"/>
  <c r="B68" i="445" s="1"/>
  <c r="C68" i="445" s="1"/>
  <c r="D68" i="445" s="1"/>
  <c r="E68" i="445" s="1"/>
  <c r="F68" i="445" s="1"/>
  <c r="G68" i="445" s="1"/>
  <c r="H68" i="445" s="1"/>
  <c r="I68" i="445" s="1"/>
  <c r="J68" i="445" s="1"/>
  <c r="K68" i="445" s="1"/>
  <c r="L68" i="445" s="1"/>
  <c r="M68" i="445" s="1"/>
  <c r="N68" i="445" s="1"/>
  <c r="O68" i="445" s="1"/>
  <c r="P68" i="445" s="1"/>
  <c r="Q68" i="445" s="1"/>
  <c r="R68" i="445" s="1"/>
  <c r="S68" i="445" s="1"/>
  <c r="T68" i="445" s="1"/>
  <c r="U68" i="445" s="1"/>
  <c r="V68" i="445" s="1"/>
  <c r="W68" i="445" s="1"/>
  <c r="X68" i="445" s="1"/>
  <c r="Y68" i="445" s="1"/>
  <c r="Z68" i="445" s="1"/>
  <c r="AA68" i="445" s="1"/>
  <c r="AB68" i="445" s="1"/>
  <c r="AC68" i="445" s="1"/>
  <c r="AD68" i="445" s="1"/>
  <c r="AL68" i="445" s="1"/>
  <c r="B68" i="446" s="1"/>
  <c r="C68" i="446" s="1"/>
  <c r="D68" i="446" s="1"/>
  <c r="E68" i="446" s="1"/>
  <c r="F68" i="446" s="1"/>
  <c r="G68" i="446" s="1"/>
  <c r="H68" i="446" s="1"/>
  <c r="I68" i="446" s="1"/>
  <c r="J68" i="446" s="1"/>
  <c r="K68" i="446" s="1"/>
  <c r="L68" i="446" s="1"/>
  <c r="M68" i="446" s="1"/>
  <c r="N68" i="446" s="1"/>
  <c r="O68" i="446" s="1"/>
  <c r="P68" i="446" s="1"/>
  <c r="Q68" i="446" s="1"/>
  <c r="R68" i="446" s="1"/>
  <c r="S68" i="446" s="1"/>
  <c r="T68" i="446" s="1"/>
  <c r="U68" i="446" s="1"/>
  <c r="V68" i="446" s="1"/>
  <c r="W68" i="446" s="1"/>
  <c r="X68" i="446" s="1"/>
  <c r="Y68" i="446" s="1"/>
  <c r="Z68" i="446" s="1"/>
  <c r="AA68" i="446" s="1"/>
  <c r="AB68" i="446" s="1"/>
  <c r="AC68" i="446" s="1"/>
  <c r="AD68" i="446" s="1"/>
  <c r="AE68" i="446" s="1"/>
  <c r="AF68" i="446" s="1"/>
  <c r="AN68" i="446" s="1"/>
  <c r="B68" i="447" s="1"/>
  <c r="C68" i="447" s="1"/>
  <c r="D68" i="447" s="1"/>
  <c r="E68" i="447" s="1"/>
  <c r="F68" i="447" s="1"/>
  <c r="G68" i="447" s="1"/>
  <c r="H68" i="447" s="1"/>
  <c r="I68" i="447" s="1"/>
  <c r="J68" i="447" s="1"/>
  <c r="K68" i="447" s="1"/>
  <c r="L68" i="447" s="1"/>
  <c r="M68" i="447" s="1"/>
  <c r="N68" i="447" s="1"/>
  <c r="O68" i="447" s="1"/>
  <c r="P68" i="447" s="1"/>
  <c r="Q68" i="447" s="1"/>
  <c r="R68" i="447" s="1"/>
  <c r="S68" i="447" s="1"/>
  <c r="T68" i="447" s="1"/>
  <c r="U68" i="447" s="1"/>
  <c r="V68" i="447" s="1"/>
  <c r="W68" i="447" s="1"/>
  <c r="X68" i="447" s="1"/>
  <c r="Y68" i="447" s="1"/>
  <c r="Z68" i="447" s="1"/>
  <c r="AA68" i="447" s="1"/>
  <c r="AB68" i="447" s="1"/>
  <c r="AC68" i="447" s="1"/>
  <c r="AD68" i="447" s="1"/>
  <c r="AE68" i="447" s="1"/>
  <c r="AM68" i="447" s="1"/>
  <c r="B68" i="448" s="1"/>
  <c r="C68" i="448" s="1"/>
  <c r="D68" i="448" s="1"/>
  <c r="E68" i="448" s="1"/>
  <c r="F68" i="448" s="1"/>
  <c r="G68" i="448" s="1"/>
  <c r="H68" i="448" s="1"/>
  <c r="I68" i="448" s="1"/>
  <c r="J68" i="448" s="1"/>
  <c r="K68" i="448" s="1"/>
  <c r="L68" i="448" s="1"/>
  <c r="M68" i="448" s="1"/>
  <c r="N68" i="448" s="1"/>
  <c r="O68" i="448" s="1"/>
  <c r="P68" i="448" s="1"/>
  <c r="Q68" i="448" s="1"/>
  <c r="R68" i="448" s="1"/>
  <c r="S68" i="448" s="1"/>
  <c r="T68" i="448" s="1"/>
  <c r="U68" i="448" s="1"/>
  <c r="V68" i="448" s="1"/>
  <c r="W68" i="448" s="1"/>
  <c r="X68" i="448" s="1"/>
  <c r="Y68" i="448" s="1"/>
  <c r="Z68" i="448" s="1"/>
  <c r="AA68" i="448" s="1"/>
  <c r="AB68" i="448" s="1"/>
  <c r="AC68" i="448" s="1"/>
  <c r="AD68" i="448" s="1"/>
  <c r="AE68" i="448" s="1"/>
  <c r="AF68" i="448" s="1"/>
  <c r="AN68" i="448" s="1"/>
  <c r="B68" i="449" s="1"/>
  <c r="C68" i="449" s="1"/>
  <c r="D68" i="449" s="1"/>
  <c r="E68" i="449" s="1"/>
  <c r="F68" i="449" s="1"/>
  <c r="G68" i="449" s="1"/>
  <c r="H68" i="449" s="1"/>
  <c r="I68" i="449" s="1"/>
  <c r="J68" i="449" s="1"/>
  <c r="K68" i="449" s="1"/>
  <c r="L68" i="449" s="1"/>
  <c r="M68" i="449" s="1"/>
  <c r="N68" i="449" s="1"/>
  <c r="O68" i="449" s="1"/>
  <c r="P68" i="449" s="1"/>
  <c r="Q68" i="449" s="1"/>
  <c r="R68" i="449" s="1"/>
  <c r="S68" i="449" s="1"/>
  <c r="T68" i="449" s="1"/>
  <c r="U68" i="449" s="1"/>
  <c r="V68" i="449" s="1"/>
  <c r="W68" i="449" s="1"/>
  <c r="X68" i="449" s="1"/>
  <c r="Y68" i="449" s="1"/>
  <c r="Z68" i="449" s="1"/>
  <c r="AA68" i="449" s="1"/>
  <c r="AB68" i="449" s="1"/>
  <c r="AC68" i="449" s="1"/>
  <c r="AD68" i="449" s="1"/>
  <c r="AE68" i="449" s="1"/>
  <c r="AM68" i="449" s="1"/>
  <c r="B68" i="450" s="1"/>
  <c r="C68" i="450" s="1"/>
  <c r="D68" i="450" s="1"/>
  <c r="E68" i="450" s="1"/>
  <c r="F68" i="450" s="1"/>
  <c r="G68" i="450" s="1"/>
  <c r="H68" i="450" s="1"/>
  <c r="I68" i="450" s="1"/>
  <c r="J68" i="450" s="1"/>
  <c r="K68" i="450" s="1"/>
  <c r="L68" i="450" s="1"/>
  <c r="M68" i="450" s="1"/>
  <c r="N68" i="450" s="1"/>
  <c r="O68" i="450" s="1"/>
  <c r="P68" i="450" s="1"/>
  <c r="Q68" i="450" s="1"/>
  <c r="R68" i="450" s="1"/>
  <c r="S68" i="450" s="1"/>
  <c r="T68" i="450" s="1"/>
  <c r="U68" i="450" s="1"/>
  <c r="V68" i="450" s="1"/>
  <c r="W68" i="450" s="1"/>
  <c r="X68" i="450" s="1"/>
  <c r="Y68" i="450" s="1"/>
  <c r="Z68" i="450" s="1"/>
  <c r="AA68" i="450" s="1"/>
  <c r="AB68" i="450" s="1"/>
  <c r="AC68" i="450" s="1"/>
  <c r="AD68" i="450" s="1"/>
  <c r="AE68" i="450" s="1"/>
  <c r="AF68" i="450" s="1"/>
  <c r="AN68" i="450" s="1"/>
  <c r="B68" i="451" s="1"/>
  <c r="C68" i="451" s="1"/>
  <c r="D68" i="451" s="1"/>
  <c r="E68" i="451" s="1"/>
  <c r="F68" i="451" s="1"/>
  <c r="G68" i="451" s="1"/>
  <c r="H68" i="451" s="1"/>
  <c r="I68" i="451" s="1"/>
  <c r="J68" i="451" s="1"/>
  <c r="K68" i="451" s="1"/>
  <c r="L68" i="451" s="1"/>
  <c r="M68" i="451" s="1"/>
  <c r="N68" i="451" s="1"/>
  <c r="O68" i="451" s="1"/>
  <c r="P68" i="451" s="1"/>
  <c r="Q68" i="451" s="1"/>
  <c r="R68" i="451" s="1"/>
  <c r="S68" i="451" s="1"/>
  <c r="T68" i="451" s="1"/>
  <c r="U68" i="451" s="1"/>
  <c r="V68" i="451" s="1"/>
  <c r="W68" i="451" s="1"/>
  <c r="X68" i="451" s="1"/>
  <c r="Y68" i="451" s="1"/>
  <c r="Z68" i="451" s="1"/>
  <c r="AA68" i="451" s="1"/>
  <c r="AB68" i="451" s="1"/>
  <c r="AC68" i="451" s="1"/>
  <c r="AD68" i="451" s="1"/>
  <c r="AE68" i="451" s="1"/>
  <c r="AF68" i="451" s="1"/>
  <c r="AN68" i="451" s="1"/>
  <c r="B68" i="452" s="1"/>
  <c r="C68" i="452" s="1"/>
  <c r="D68" i="452" s="1"/>
  <c r="E68" i="452" s="1"/>
  <c r="F68" i="452" s="1"/>
  <c r="G68" i="452" s="1"/>
  <c r="H68" i="452" s="1"/>
  <c r="I68" i="452" s="1"/>
  <c r="J68" i="452" s="1"/>
  <c r="K68" i="452" s="1"/>
  <c r="L68" i="452" s="1"/>
  <c r="M68" i="452" s="1"/>
  <c r="N68" i="452" s="1"/>
  <c r="O68" i="452" s="1"/>
  <c r="P68" i="452" s="1"/>
  <c r="Q68" i="452" s="1"/>
  <c r="R68" i="452" s="1"/>
  <c r="S68" i="452" s="1"/>
  <c r="T68" i="452" s="1"/>
  <c r="U68" i="452" s="1"/>
  <c r="V68" i="452" s="1"/>
  <c r="W68" i="452" s="1"/>
  <c r="X68" i="452" s="1"/>
  <c r="Y68" i="452" s="1"/>
  <c r="Z68" i="452" s="1"/>
  <c r="AA68" i="452" s="1"/>
  <c r="AB68" i="452" s="1"/>
  <c r="AC68" i="452" s="1"/>
  <c r="AD68" i="452" s="1"/>
  <c r="AE68" i="452" s="1"/>
  <c r="AM68" i="452" s="1"/>
  <c r="B68" i="453" s="1"/>
  <c r="C68" i="453" s="1"/>
  <c r="D68" i="453" s="1"/>
  <c r="E68" i="453" s="1"/>
  <c r="F68" i="453" s="1"/>
  <c r="G68" i="453" s="1"/>
  <c r="H68" i="453" s="1"/>
  <c r="I68" i="453" s="1"/>
  <c r="J68" i="453" s="1"/>
  <c r="K68" i="453" s="1"/>
  <c r="L68" i="453" s="1"/>
  <c r="M68" i="453" s="1"/>
  <c r="N68" i="453" s="1"/>
  <c r="O68" i="453" s="1"/>
  <c r="P68" i="453" s="1"/>
  <c r="Q68" i="453" s="1"/>
  <c r="R68" i="453" s="1"/>
  <c r="S68" i="453" s="1"/>
  <c r="T68" i="453" s="1"/>
  <c r="U68" i="453" s="1"/>
  <c r="V68" i="453" s="1"/>
  <c r="W68" i="453" s="1"/>
  <c r="X68" i="453" s="1"/>
  <c r="Y68" i="453" s="1"/>
  <c r="Z68" i="453" s="1"/>
  <c r="AA68" i="453" s="1"/>
  <c r="AB68" i="453" s="1"/>
  <c r="AC68" i="453" s="1"/>
  <c r="AD68" i="453" s="1"/>
  <c r="AE68" i="453" s="1"/>
  <c r="AF68" i="453" s="1"/>
  <c r="AN68" i="453" s="1"/>
  <c r="B68" i="454" s="1"/>
  <c r="C68" i="454" s="1"/>
  <c r="D68" i="454" s="1"/>
  <c r="E68" i="454" s="1"/>
  <c r="F68" i="454" s="1"/>
  <c r="G68" i="454" s="1"/>
  <c r="H68" i="454" s="1"/>
  <c r="I68" i="454" s="1"/>
  <c r="J68" i="454" s="1"/>
  <c r="K68" i="454" s="1"/>
  <c r="L68" i="454" s="1"/>
  <c r="M68" i="454" s="1"/>
  <c r="N68" i="454" s="1"/>
  <c r="O68" i="454" s="1"/>
  <c r="P68" i="454" s="1"/>
  <c r="Q68" i="454" s="1"/>
  <c r="R68" i="454" s="1"/>
  <c r="S68" i="454" s="1"/>
  <c r="T68" i="454" s="1"/>
  <c r="U68" i="454" s="1"/>
  <c r="V68" i="454" s="1"/>
  <c r="W68" i="454" s="1"/>
  <c r="X68" i="454" s="1"/>
  <c r="Y68" i="454" s="1"/>
  <c r="Z68" i="454" s="1"/>
  <c r="AA68" i="454" s="1"/>
  <c r="AB68" i="454" s="1"/>
  <c r="AC68" i="454" s="1"/>
  <c r="AD68" i="454" s="1"/>
  <c r="AE68" i="454" s="1"/>
  <c r="AM68" i="454" s="1"/>
  <c r="B68" i="455" s="1"/>
  <c r="C68" i="455" s="1"/>
  <c r="D68" i="455" s="1"/>
  <c r="E68" i="455" s="1"/>
  <c r="F68" i="455" s="1"/>
  <c r="G68" i="455" s="1"/>
  <c r="H68" i="455" s="1"/>
  <c r="I68" i="455" s="1"/>
  <c r="J68" i="455" s="1"/>
  <c r="K68" i="455" s="1"/>
  <c r="L68" i="455" s="1"/>
  <c r="M68" i="455" s="1"/>
  <c r="N68" i="455" s="1"/>
  <c r="O68" i="455" s="1"/>
  <c r="P68" i="455" s="1"/>
  <c r="Q68" i="455" s="1"/>
  <c r="R68" i="455" s="1"/>
  <c r="S68" i="455" s="1"/>
  <c r="T68" i="455" s="1"/>
  <c r="U68" i="455" s="1"/>
  <c r="V68" i="455" s="1"/>
  <c r="W68" i="455" s="1"/>
  <c r="X68" i="455" s="1"/>
  <c r="Y68" i="455" s="1"/>
  <c r="Z68" i="455" s="1"/>
  <c r="AA68" i="455" s="1"/>
  <c r="AB68" i="455" s="1"/>
  <c r="AC68" i="455" s="1"/>
  <c r="AD68" i="455" s="1"/>
  <c r="AE68" i="455" s="1"/>
  <c r="AF68" i="455" s="1"/>
  <c r="AN68" i="455" s="1"/>
  <c r="AF56" i="444"/>
  <c r="AI56" i="444" s="1"/>
  <c r="AI58" i="444" s="1"/>
  <c r="AN58" i="444" s="1"/>
  <c r="AD75" i="448"/>
  <c r="AC81" i="444"/>
  <c r="AD34" i="444"/>
  <c r="AE82" i="451"/>
  <c r="AE53" i="451"/>
  <c r="AE55" i="451" s="1"/>
  <c r="AE52" i="451"/>
  <c r="AE66" i="451" s="1"/>
  <c r="AE73" i="451"/>
  <c r="AC76" i="446"/>
  <c r="AB77" i="446" s="1"/>
  <c r="AB69" i="446" s="1"/>
  <c r="AF11" i="448"/>
  <c r="AF54" i="448" s="1"/>
  <c r="AI54" i="448" s="1"/>
  <c r="B17" i="1" s="1"/>
  <c r="AF9" i="448"/>
  <c r="AF12" i="448"/>
  <c r="AF49" i="448"/>
  <c r="AI49" i="448" s="1"/>
  <c r="AE82" i="446"/>
  <c r="AE73" i="446"/>
  <c r="AE53" i="446"/>
  <c r="AE55" i="446" s="1"/>
  <c r="AE52" i="446"/>
  <c r="AF11" i="450"/>
  <c r="AF54" i="450" s="1"/>
  <c r="AI54" i="450" s="1"/>
  <c r="B19" i="1" s="1"/>
  <c r="AF9" i="450"/>
  <c r="AF12" i="450"/>
  <c r="AF49" i="450"/>
  <c r="AI49" i="450" s="1"/>
  <c r="AF11" i="455"/>
  <c r="AF54" i="455" s="1"/>
  <c r="AI54" i="455" s="1"/>
  <c r="B24" i="1" s="1"/>
  <c r="AF9" i="455"/>
  <c r="AF12" i="455"/>
  <c r="AF49" i="455"/>
  <c r="AI49" i="455" s="1"/>
  <c r="AE82" i="454"/>
  <c r="AE73" i="454"/>
  <c r="AE52" i="454"/>
  <c r="AE53" i="454"/>
  <c r="AE82" i="444"/>
  <c r="AE73" i="444"/>
  <c r="AE53" i="444"/>
  <c r="AE55" i="444" s="1"/>
  <c r="AE52" i="444"/>
  <c r="AE73" i="449"/>
  <c r="AE52" i="449"/>
  <c r="AE82" i="449"/>
  <c r="AE53" i="449"/>
  <c r="AE82" i="448"/>
  <c r="AE73" i="448"/>
  <c r="AE53" i="448"/>
  <c r="AE55" i="448" s="1"/>
  <c r="AE52" i="448"/>
  <c r="AE66" i="448" s="1"/>
  <c r="AE55" i="447"/>
  <c r="AH55" i="447" s="1"/>
  <c r="AM55" i="447" s="1"/>
  <c r="AH53" i="447"/>
  <c r="I16" i="1" s="1"/>
  <c r="AC76" i="451"/>
  <c r="AB77" i="451" s="1"/>
  <c r="AB69" i="451" s="1"/>
  <c r="AD75" i="453"/>
  <c r="AE73" i="450"/>
  <c r="AE53" i="450"/>
  <c r="AE55" i="450" s="1"/>
  <c r="AE52" i="450"/>
  <c r="AE82" i="450"/>
  <c r="AE82" i="455"/>
  <c r="AE73" i="455"/>
  <c r="AE53" i="455"/>
  <c r="AE55" i="455" s="1"/>
  <c r="AE52" i="455"/>
  <c r="AD75" i="451"/>
  <c r="AD76" i="451" s="1"/>
  <c r="AC77" i="451" s="1"/>
  <c r="AC69" i="451" s="1"/>
  <c r="AD55" i="445"/>
  <c r="AG55" i="445" s="1"/>
  <c r="AL55" i="445" s="1"/>
  <c r="AG53" i="445"/>
  <c r="I14" i="1" s="1"/>
  <c r="AD75" i="445"/>
  <c r="AD77" i="445" s="1"/>
  <c r="AD69" i="445" s="1"/>
  <c r="AG73" i="445"/>
  <c r="AF11" i="453"/>
  <c r="AF54" i="453" s="1"/>
  <c r="AI54" i="453" s="1"/>
  <c r="B22" i="1" s="1"/>
  <c r="AF9" i="453"/>
  <c r="AF12" i="453"/>
  <c r="AF49" i="453"/>
  <c r="AI49" i="453" s="1"/>
  <c r="AD75" i="449"/>
  <c r="AD75" i="454"/>
  <c r="AD76" i="454" s="1"/>
  <c r="AC77" i="454" s="1"/>
  <c r="AC69" i="454" s="1"/>
  <c r="Q79" i="444"/>
  <c r="R70" i="444"/>
  <c r="AE53" i="452"/>
  <c r="AE73" i="452"/>
  <c r="AE82" i="452"/>
  <c r="AE52" i="452"/>
  <c r="AC76" i="449"/>
  <c r="AB77" i="449" s="1"/>
  <c r="AB69" i="449" s="1"/>
  <c r="AD75" i="444"/>
  <c r="AD76" i="444" s="1"/>
  <c r="AC77" i="444" s="1"/>
  <c r="AC69" i="444" s="1"/>
  <c r="AC76" i="453"/>
  <c r="AB77" i="453" s="1"/>
  <c r="AB69" i="453" s="1"/>
  <c r="AC76" i="444"/>
  <c r="AB77" i="444" s="1"/>
  <c r="AB69" i="444" s="1"/>
  <c r="AE73" i="453"/>
  <c r="AE82" i="453"/>
  <c r="AE53" i="453"/>
  <c r="AE55" i="453" s="1"/>
  <c r="AE52" i="453"/>
  <c r="AD76" i="447"/>
  <c r="AC77" i="447" s="1"/>
  <c r="AC69" i="447" s="1"/>
  <c r="AC76" i="450"/>
  <c r="AB77" i="450" s="1"/>
  <c r="AB69" i="450" s="1"/>
  <c r="AC76" i="454"/>
  <c r="AB77" i="454" s="1"/>
  <c r="AB69" i="454" s="1"/>
  <c r="AF12" i="451"/>
  <c r="AF11" i="451"/>
  <c r="AF54" i="451" s="1"/>
  <c r="AI54" i="451" s="1"/>
  <c r="B20" i="1" s="1"/>
  <c r="AF9" i="451"/>
  <c r="AF49" i="451"/>
  <c r="AI49" i="451" s="1"/>
  <c r="AD75" i="446"/>
  <c r="AD76" i="446" s="1"/>
  <c r="AC77" i="446" s="1"/>
  <c r="AC69" i="446" s="1"/>
  <c r="AD76" i="445" l="1"/>
  <c r="AC77" i="445" s="1"/>
  <c r="AC69" i="445" s="1"/>
  <c r="AG69" i="445" s="1"/>
  <c r="E16" i="15"/>
  <c r="R14" i="1"/>
  <c r="L14" i="1"/>
  <c r="AI67" i="445" s="1"/>
  <c r="K14" i="1"/>
  <c r="AI84" i="445" s="1"/>
  <c r="T16" i="15"/>
  <c r="AL55" i="446"/>
  <c r="O16" i="15"/>
  <c r="F16" i="15"/>
  <c r="AL55" i="448"/>
  <c r="O18" i="15"/>
  <c r="F18" i="15"/>
  <c r="T18" i="15"/>
  <c r="L16" i="1"/>
  <c r="AJ67" i="447" s="1"/>
  <c r="K16" i="1"/>
  <c r="AJ84" i="447" s="1"/>
  <c r="E18" i="15"/>
  <c r="C18" i="15" s="1"/>
  <c r="R16" i="1"/>
  <c r="AA16" i="15"/>
  <c r="AJ58" i="445"/>
  <c r="B56" i="445"/>
  <c r="C56" i="445" s="1"/>
  <c r="D56" i="445" s="1"/>
  <c r="E56" i="445" s="1"/>
  <c r="F56" i="445" s="1"/>
  <c r="G56" i="445" s="1"/>
  <c r="H56" i="445" s="1"/>
  <c r="I56" i="445" s="1"/>
  <c r="J56" i="445" s="1"/>
  <c r="K56" i="445" s="1"/>
  <c r="L56" i="445" s="1"/>
  <c r="M56" i="445" s="1"/>
  <c r="N56" i="445" s="1"/>
  <c r="O56" i="445" s="1"/>
  <c r="P56" i="445" s="1"/>
  <c r="Q56" i="445" s="1"/>
  <c r="R56" i="445" s="1"/>
  <c r="S56" i="445" s="1"/>
  <c r="T56" i="445" s="1"/>
  <c r="U56" i="445" s="1"/>
  <c r="V56" i="445" s="1"/>
  <c r="W56" i="445" s="1"/>
  <c r="X56" i="445" s="1"/>
  <c r="Y56" i="445" s="1"/>
  <c r="Z56" i="445" s="1"/>
  <c r="AA56" i="445" s="1"/>
  <c r="AB56" i="445" s="1"/>
  <c r="AC56" i="445" s="1"/>
  <c r="AD56" i="445" s="1"/>
  <c r="AG56" i="445" s="1"/>
  <c r="AG58" i="445" s="1"/>
  <c r="AL58" i="445" s="1"/>
  <c r="B25" i="1"/>
  <c r="AA18" i="15"/>
  <c r="AE76" i="447"/>
  <c r="AD77" i="447" s="1"/>
  <c r="AD69" i="447" s="1"/>
  <c r="R79" i="444"/>
  <c r="S70" i="444"/>
  <c r="AE55" i="454"/>
  <c r="AH55" i="454" s="1"/>
  <c r="AM55" i="454" s="1"/>
  <c r="AH53" i="454"/>
  <c r="I23" i="1" s="1"/>
  <c r="AE75" i="446"/>
  <c r="AF82" i="444"/>
  <c r="AF73" i="444"/>
  <c r="AF53" i="444"/>
  <c r="AF52" i="444"/>
  <c r="AI82" i="452"/>
  <c r="AH82" i="452"/>
  <c r="AF82" i="453"/>
  <c r="AF73" i="453"/>
  <c r="AF53" i="453"/>
  <c r="AF52" i="453"/>
  <c r="AF66" i="453" s="1"/>
  <c r="AE75" i="450"/>
  <c r="AE76" i="450" s="1"/>
  <c r="AD77" i="450" s="1"/>
  <c r="AD69" i="450" s="1"/>
  <c r="AD76" i="453"/>
  <c r="AC77" i="453" s="1"/>
  <c r="AC69" i="453" s="1"/>
  <c r="AE75" i="449"/>
  <c r="AE77" i="449" s="1"/>
  <c r="AE69" i="449"/>
  <c r="AH73" i="449"/>
  <c r="AE75" i="444"/>
  <c r="AE76" i="444" s="1"/>
  <c r="AD77" i="444" s="1"/>
  <c r="AD69" i="444" s="1"/>
  <c r="AF82" i="455"/>
  <c r="AF73" i="455"/>
  <c r="AF53" i="455"/>
  <c r="AF52" i="455"/>
  <c r="AF82" i="450"/>
  <c r="AF73" i="450"/>
  <c r="AF53" i="450"/>
  <c r="AF52" i="450"/>
  <c r="AE75" i="451"/>
  <c r="AD76" i="448"/>
  <c r="AC77" i="448" s="1"/>
  <c r="AC69" i="448" s="1"/>
  <c r="AE75" i="452"/>
  <c r="AE77" i="452" s="1"/>
  <c r="AE69" i="452" s="1"/>
  <c r="AH73" i="452"/>
  <c r="AE55" i="449"/>
  <c r="AH55" i="449" s="1"/>
  <c r="AM55" i="449" s="1"/>
  <c r="AH53" i="449"/>
  <c r="I18" i="1" s="1"/>
  <c r="AE75" i="454"/>
  <c r="AE77" i="454" s="1"/>
  <c r="AE69" i="454" s="1"/>
  <c r="AH73" i="454"/>
  <c r="AE34" i="444"/>
  <c r="AD81" i="444"/>
  <c r="AI73" i="447"/>
  <c r="AH77" i="447"/>
  <c r="AF82" i="451"/>
  <c r="AF73" i="451"/>
  <c r="AF53" i="451"/>
  <c r="AF52" i="451"/>
  <c r="AE75" i="453"/>
  <c r="AE76" i="453" s="1"/>
  <c r="AD77" i="453" s="1"/>
  <c r="AD69" i="453" s="1"/>
  <c r="AE55" i="452"/>
  <c r="AH55" i="452" s="1"/>
  <c r="AM55" i="452" s="1"/>
  <c r="AH53" i="452"/>
  <c r="I21" i="1" s="1"/>
  <c r="AD76" i="449"/>
  <c r="AC77" i="449" s="1"/>
  <c r="AC69" i="449" s="1"/>
  <c r="AH73" i="445"/>
  <c r="AG77" i="445"/>
  <c r="AE75" i="455"/>
  <c r="AE76" i="455" s="1"/>
  <c r="AD77" i="455" s="1"/>
  <c r="AD69" i="455" s="1"/>
  <c r="AE75" i="448"/>
  <c r="AH82" i="449"/>
  <c r="AI82" i="449"/>
  <c r="AI82" i="454"/>
  <c r="AH82" i="454"/>
  <c r="AF73" i="448"/>
  <c r="AF53" i="448"/>
  <c r="AF52" i="448"/>
  <c r="AF66" i="448" s="1"/>
  <c r="AF82" i="448"/>
  <c r="AF82" i="446"/>
  <c r="AF73" i="446"/>
  <c r="AF53" i="446"/>
  <c r="AF52" i="446"/>
  <c r="AH69" i="447"/>
  <c r="AD76" i="450"/>
  <c r="AC77" i="450" s="1"/>
  <c r="AC69" i="450" s="1"/>
  <c r="AE76" i="449" l="1"/>
  <c r="AD77" i="449" s="1"/>
  <c r="AD69" i="449" s="1"/>
  <c r="K21" i="1"/>
  <c r="AJ84" i="452" s="1"/>
  <c r="L21" i="1"/>
  <c r="AJ67" i="452" s="1"/>
  <c r="R21" i="1"/>
  <c r="E23" i="15"/>
  <c r="L18" i="1"/>
  <c r="AJ67" i="449" s="1"/>
  <c r="R18" i="1"/>
  <c r="E20" i="15"/>
  <c r="K18" i="1"/>
  <c r="AJ84" i="449" s="1"/>
  <c r="U16" i="15"/>
  <c r="U18" i="15"/>
  <c r="AL55" i="453"/>
  <c r="O23" i="15"/>
  <c r="F23" i="15"/>
  <c r="AL55" i="450"/>
  <c r="O20" i="15"/>
  <c r="F20" i="15"/>
  <c r="AA20" i="15"/>
  <c r="T25" i="15"/>
  <c r="T20" i="15"/>
  <c r="E25" i="15"/>
  <c r="L23" i="1"/>
  <c r="AJ67" i="454" s="1"/>
  <c r="K23" i="1"/>
  <c r="AJ84" i="454" s="1"/>
  <c r="R23" i="1"/>
  <c r="AA25" i="15"/>
  <c r="T23" i="15"/>
  <c r="AA23" i="15"/>
  <c r="AL55" i="455"/>
  <c r="F25" i="15"/>
  <c r="O25" i="15"/>
  <c r="B56" i="446"/>
  <c r="C56" i="446" s="1"/>
  <c r="D56" i="446" s="1"/>
  <c r="E56" i="446" s="1"/>
  <c r="F56" i="446" s="1"/>
  <c r="G56" i="446" s="1"/>
  <c r="H56" i="446" s="1"/>
  <c r="I56" i="446" s="1"/>
  <c r="J56" i="446" s="1"/>
  <c r="K56" i="446" s="1"/>
  <c r="L56" i="446" s="1"/>
  <c r="M56" i="446" s="1"/>
  <c r="N56" i="446" s="1"/>
  <c r="O56" i="446" s="1"/>
  <c r="P56" i="446" s="1"/>
  <c r="Q56" i="446" s="1"/>
  <c r="R56" i="446" s="1"/>
  <c r="S56" i="446" s="1"/>
  <c r="T56" i="446" s="1"/>
  <c r="U56" i="446" s="1"/>
  <c r="V56" i="446" s="1"/>
  <c r="W56" i="446" s="1"/>
  <c r="X56" i="446" s="1"/>
  <c r="Y56" i="446" s="1"/>
  <c r="Z56" i="446" s="1"/>
  <c r="AA56" i="446" s="1"/>
  <c r="AB56" i="446" s="1"/>
  <c r="AC56" i="446" s="1"/>
  <c r="AD56" i="446" s="1"/>
  <c r="AE56" i="446" s="1"/>
  <c r="AF56" i="446" s="1"/>
  <c r="AI56" i="446" s="1"/>
  <c r="AI58" i="446" s="1"/>
  <c r="AN58" i="446" s="1"/>
  <c r="AL58" i="446"/>
  <c r="C16" i="15"/>
  <c r="AE76" i="452"/>
  <c r="AD77" i="452" s="1"/>
  <c r="AD69" i="452" s="1"/>
  <c r="AE76" i="454"/>
  <c r="AD77" i="454" s="1"/>
  <c r="AD69" i="454" s="1"/>
  <c r="AH69" i="454" s="1"/>
  <c r="AI82" i="448"/>
  <c r="AJ82" i="448"/>
  <c r="AI82" i="451"/>
  <c r="AJ82" i="451"/>
  <c r="AE81" i="444"/>
  <c r="AF34" i="444"/>
  <c r="AH77" i="454"/>
  <c r="AI73" i="452"/>
  <c r="AH77" i="452"/>
  <c r="AF55" i="450"/>
  <c r="AI55" i="450" s="1"/>
  <c r="AN55" i="450" s="1"/>
  <c r="AI53" i="450"/>
  <c r="I19" i="1" s="1"/>
  <c r="AI73" i="449"/>
  <c r="AH77" i="449"/>
  <c r="AF75" i="453"/>
  <c r="AF77" i="453" s="1"/>
  <c r="AF69" i="453" s="1"/>
  <c r="AI73" i="453"/>
  <c r="AJ82" i="444"/>
  <c r="AI82" i="444"/>
  <c r="AH69" i="452"/>
  <c r="AF75" i="450"/>
  <c r="AF77" i="450" s="1"/>
  <c r="AF69" i="450" s="1"/>
  <c r="AI73" i="450"/>
  <c r="AF55" i="455"/>
  <c r="AI55" i="455" s="1"/>
  <c r="AN55" i="455" s="1"/>
  <c r="AI53" i="455"/>
  <c r="I24" i="1" s="1"/>
  <c r="AJ82" i="453"/>
  <c r="AI82" i="453"/>
  <c r="AF55" i="446"/>
  <c r="AI55" i="446" s="1"/>
  <c r="AN55" i="446" s="1"/>
  <c r="AI53" i="446"/>
  <c r="I15" i="1" s="1"/>
  <c r="AF75" i="448"/>
  <c r="AF77" i="448" s="1"/>
  <c r="AF69" i="448" s="1"/>
  <c r="AI73" i="448"/>
  <c r="AF75" i="446"/>
  <c r="AF77" i="446" s="1"/>
  <c r="AF69" i="446" s="1"/>
  <c r="AI73" i="446"/>
  <c r="AF55" i="451"/>
  <c r="AI55" i="451" s="1"/>
  <c r="AN55" i="451" s="1"/>
  <c r="AI53" i="451"/>
  <c r="I20" i="1" s="1"/>
  <c r="AJ82" i="446"/>
  <c r="AI82" i="446"/>
  <c r="AF55" i="448"/>
  <c r="AI55" i="448" s="1"/>
  <c r="AN55" i="448" s="1"/>
  <c r="AI53" i="448"/>
  <c r="I17" i="1" s="1"/>
  <c r="AE76" i="448"/>
  <c r="AD77" i="448" s="1"/>
  <c r="AD69" i="448" s="1"/>
  <c r="AE76" i="451"/>
  <c r="AD77" i="451" s="1"/>
  <c r="AD69" i="451" s="1"/>
  <c r="AJ82" i="450"/>
  <c r="AI82" i="450"/>
  <c r="AF75" i="455"/>
  <c r="AF77" i="455" s="1"/>
  <c r="AI73" i="455"/>
  <c r="AF55" i="444"/>
  <c r="AI55" i="444" s="1"/>
  <c r="AN55" i="444" s="1"/>
  <c r="AI53" i="444"/>
  <c r="I13" i="1" s="1"/>
  <c r="AE76" i="446"/>
  <c r="AD77" i="446" s="1"/>
  <c r="AD69" i="446" s="1"/>
  <c r="AF75" i="451"/>
  <c r="AF77" i="451" s="1"/>
  <c r="AF69" i="451" s="1"/>
  <c r="AI73" i="451"/>
  <c r="AJ82" i="455"/>
  <c r="AI82" i="455"/>
  <c r="AH69" i="449"/>
  <c r="AF55" i="453"/>
  <c r="AI55" i="453" s="1"/>
  <c r="AN55" i="453" s="1"/>
  <c r="AI53" i="453"/>
  <c r="I22" i="1" s="1"/>
  <c r="AF75" i="444"/>
  <c r="AF77" i="444" s="1"/>
  <c r="AF69" i="444" s="1"/>
  <c r="AI73" i="444"/>
  <c r="S79" i="444"/>
  <c r="T70" i="444"/>
  <c r="AI73" i="454" l="1"/>
  <c r="AA26" i="15"/>
  <c r="AA21" i="15"/>
  <c r="AN82" i="444"/>
  <c r="AJ82" i="445" s="1"/>
  <c r="AL82" i="445" s="1"/>
  <c r="AL82" i="446" s="1"/>
  <c r="AN82" i="446" s="1"/>
  <c r="AK82" i="447" s="1"/>
  <c r="AM82" i="447" s="1"/>
  <c r="AL82" i="448" s="1"/>
  <c r="AN82" i="448" s="1"/>
  <c r="AK82" i="449" s="1"/>
  <c r="AM82" i="449" s="1"/>
  <c r="AL82" i="450" s="1"/>
  <c r="AN82" i="450" s="1"/>
  <c r="AL82" i="451" s="1"/>
  <c r="AN82" i="451" s="1"/>
  <c r="AK82" i="452" s="1"/>
  <c r="AM82" i="452" s="1"/>
  <c r="AL82" i="453" s="1"/>
  <c r="AN82" i="453" s="1"/>
  <c r="AK82" i="454" s="1"/>
  <c r="AM82" i="454" s="1"/>
  <c r="AL82" i="455" s="1"/>
  <c r="AN82" i="455" s="1"/>
  <c r="AA15" i="15"/>
  <c r="AJ55" i="445"/>
  <c r="O15" i="15"/>
  <c r="F15" i="15"/>
  <c r="U20" i="15"/>
  <c r="T26" i="15"/>
  <c r="AA17" i="15"/>
  <c r="K20" i="1"/>
  <c r="AK84" i="451" s="1"/>
  <c r="R20" i="1"/>
  <c r="E22" i="15"/>
  <c r="L20" i="1"/>
  <c r="AK67" i="451" s="1"/>
  <c r="T17" i="15"/>
  <c r="E17" i="15"/>
  <c r="K15" i="1"/>
  <c r="AK84" i="446" s="1"/>
  <c r="L15" i="1"/>
  <c r="AK67" i="446" s="1"/>
  <c r="R15" i="1"/>
  <c r="AA24" i="15"/>
  <c r="K24" i="1"/>
  <c r="AK84" i="455" s="1"/>
  <c r="L24" i="1"/>
  <c r="AK67" i="455" s="1"/>
  <c r="E26" i="15"/>
  <c r="R24" i="1"/>
  <c r="U23" i="15"/>
  <c r="C23" i="15"/>
  <c r="AK55" i="452"/>
  <c r="O22" i="15"/>
  <c r="F22" i="15"/>
  <c r="O17" i="15"/>
  <c r="AK55" i="447"/>
  <c r="F17" i="15"/>
  <c r="O26" i="15"/>
  <c r="F26" i="15"/>
  <c r="U25" i="15"/>
  <c r="AA19" i="15"/>
  <c r="C25" i="15"/>
  <c r="C20" i="15"/>
  <c r="AN73" i="444"/>
  <c r="AJ73" i="445" s="1"/>
  <c r="AL73" i="445" s="1"/>
  <c r="AL73" i="446" s="1"/>
  <c r="AN73" i="446" s="1"/>
  <c r="AK73" i="447" s="1"/>
  <c r="AM73" i="447" s="1"/>
  <c r="AL73" i="448" s="1"/>
  <c r="AN73" i="448" s="1"/>
  <c r="AK73" i="449" s="1"/>
  <c r="AM73" i="449" s="1"/>
  <c r="AL73" i="450" s="1"/>
  <c r="AN73" i="450" s="1"/>
  <c r="AL73" i="451" s="1"/>
  <c r="AN73" i="451" s="1"/>
  <c r="AK73" i="452" s="1"/>
  <c r="AM73" i="452" s="1"/>
  <c r="AL73" i="453" s="1"/>
  <c r="AN73" i="453" s="1"/>
  <c r="AK73" i="454" s="1"/>
  <c r="AM73" i="454" s="1"/>
  <c r="AL73" i="455" s="1"/>
  <c r="AN73" i="455" s="1"/>
  <c r="T15" i="15"/>
  <c r="L22" i="1"/>
  <c r="AK67" i="453" s="1"/>
  <c r="R22" i="1"/>
  <c r="E24" i="15"/>
  <c r="K22" i="1"/>
  <c r="AK84" i="453" s="1"/>
  <c r="I25" i="1"/>
  <c r="B36" i="1" s="1"/>
  <c r="E36" i="1" s="1"/>
  <c r="G12" i="15" s="1"/>
  <c r="L13" i="1"/>
  <c r="E15" i="15"/>
  <c r="O13" i="1"/>
  <c r="O14" i="1" s="1"/>
  <c r="O15" i="1" s="1"/>
  <c r="O16" i="1" s="1"/>
  <c r="O17" i="1" s="1"/>
  <c r="O18" i="1" s="1"/>
  <c r="O19" i="1" s="1"/>
  <c r="O20" i="1" s="1"/>
  <c r="O21" i="1" s="1"/>
  <c r="O22" i="1" s="1"/>
  <c r="O23" i="1" s="1"/>
  <c r="O24" i="1" s="1"/>
  <c r="K13" i="1"/>
  <c r="R13" i="1"/>
  <c r="B56" i="447"/>
  <c r="C56" i="447" s="1"/>
  <c r="D56" i="447" s="1"/>
  <c r="E56" i="447" s="1"/>
  <c r="F56" i="447" s="1"/>
  <c r="G56" i="447" s="1"/>
  <c r="H56" i="447" s="1"/>
  <c r="I56" i="447" s="1"/>
  <c r="J56" i="447" s="1"/>
  <c r="K56" i="447" s="1"/>
  <c r="L56" i="447" s="1"/>
  <c r="M56" i="447" s="1"/>
  <c r="N56" i="447" s="1"/>
  <c r="O56" i="447" s="1"/>
  <c r="P56" i="447" s="1"/>
  <c r="Q56" i="447" s="1"/>
  <c r="R56" i="447" s="1"/>
  <c r="S56" i="447" s="1"/>
  <c r="T56" i="447" s="1"/>
  <c r="U56" i="447" s="1"/>
  <c r="V56" i="447" s="1"/>
  <c r="W56" i="447" s="1"/>
  <c r="X56" i="447" s="1"/>
  <c r="Y56" i="447" s="1"/>
  <c r="Z56" i="447" s="1"/>
  <c r="AA56" i="447" s="1"/>
  <c r="AB56" i="447" s="1"/>
  <c r="AC56" i="447" s="1"/>
  <c r="AD56" i="447" s="1"/>
  <c r="AE56" i="447" s="1"/>
  <c r="AH56" i="447" s="1"/>
  <c r="AH58" i="447" s="1"/>
  <c r="AM58" i="447" s="1"/>
  <c r="AK58" i="447"/>
  <c r="T22" i="15"/>
  <c r="K17" i="1"/>
  <c r="AK84" i="448" s="1"/>
  <c r="L17" i="1"/>
  <c r="AK67" i="448" s="1"/>
  <c r="E19" i="15"/>
  <c r="R17" i="1"/>
  <c r="T19" i="15"/>
  <c r="T21" i="15"/>
  <c r="T32" i="15" s="1"/>
  <c r="T24" i="15"/>
  <c r="L19" i="1"/>
  <c r="AK67" i="450" s="1"/>
  <c r="R19" i="1"/>
  <c r="K19" i="1"/>
  <c r="AK84" i="450" s="1"/>
  <c r="E21" i="15"/>
  <c r="AK55" i="454"/>
  <c r="O24" i="15"/>
  <c r="F24" i="15"/>
  <c r="O19" i="15"/>
  <c r="AK55" i="449"/>
  <c r="F19" i="15"/>
  <c r="AL55" i="451"/>
  <c r="O21" i="15"/>
  <c r="F21" i="15"/>
  <c r="AA22" i="15"/>
  <c r="AF76" i="446"/>
  <c r="AE77" i="446" s="1"/>
  <c r="AE69" i="446" s="1"/>
  <c r="AI69" i="446" s="1"/>
  <c r="AF76" i="448"/>
  <c r="AE77" i="448" s="1"/>
  <c r="AE69" i="448" s="1"/>
  <c r="AF76" i="453"/>
  <c r="AE77" i="453" s="1"/>
  <c r="AE69" i="453" s="1"/>
  <c r="AI69" i="453" s="1"/>
  <c r="T79" i="444"/>
  <c r="U70" i="444"/>
  <c r="AF76" i="455"/>
  <c r="AE77" i="455" s="1"/>
  <c r="AE69" i="455" s="1"/>
  <c r="AF76" i="444"/>
  <c r="AE77" i="444" s="1"/>
  <c r="AE69" i="444" s="1"/>
  <c r="AF76" i="451"/>
  <c r="AE77" i="451" s="1"/>
  <c r="AE69" i="451" s="1"/>
  <c r="AI69" i="448"/>
  <c r="AF69" i="455"/>
  <c r="AJ73" i="448"/>
  <c r="AI77" i="448"/>
  <c r="AF76" i="450"/>
  <c r="AE77" i="450" s="1"/>
  <c r="AE69" i="450" s="1"/>
  <c r="AJ73" i="453"/>
  <c r="AG34" i="444"/>
  <c r="B34" i="445" s="1"/>
  <c r="AF81" i="444"/>
  <c r="AI81" i="444" s="1"/>
  <c r="AJ34" i="444"/>
  <c r="R15" i="15" s="1"/>
  <c r="AI77" i="446" l="1"/>
  <c r="AJ73" i="446"/>
  <c r="E32" i="15"/>
  <c r="U17" i="15"/>
  <c r="U19" i="15"/>
  <c r="AN81" i="444"/>
  <c r="AJ81" i="445" s="1"/>
  <c r="Z15" i="15"/>
  <c r="C34" i="445"/>
  <c r="B81" i="445"/>
  <c r="U24" i="15"/>
  <c r="T27" i="15"/>
  <c r="T31" i="15"/>
  <c r="O27" i="15"/>
  <c r="O28" i="15" s="1"/>
  <c r="O29" i="15" s="1"/>
  <c r="O31" i="15"/>
  <c r="AA32" i="15"/>
  <c r="AL58" i="448"/>
  <c r="B56" i="448"/>
  <c r="C56" i="448" s="1"/>
  <c r="D56" i="448" s="1"/>
  <c r="E56" i="448" s="1"/>
  <c r="F56" i="448" s="1"/>
  <c r="G56" i="448" s="1"/>
  <c r="H56" i="448" s="1"/>
  <c r="I56" i="448" s="1"/>
  <c r="J56" i="448" s="1"/>
  <c r="K56" i="448" s="1"/>
  <c r="L56" i="448" s="1"/>
  <c r="M56" i="448" s="1"/>
  <c r="N56" i="448" s="1"/>
  <c r="O56" i="448" s="1"/>
  <c r="P56" i="448" s="1"/>
  <c r="Q56" i="448" s="1"/>
  <c r="R56" i="448" s="1"/>
  <c r="S56" i="448" s="1"/>
  <c r="T56" i="448" s="1"/>
  <c r="U56" i="448" s="1"/>
  <c r="V56" i="448" s="1"/>
  <c r="W56" i="448" s="1"/>
  <c r="X56" i="448" s="1"/>
  <c r="Y56" i="448" s="1"/>
  <c r="Z56" i="448" s="1"/>
  <c r="AA56" i="448" s="1"/>
  <c r="AB56" i="448" s="1"/>
  <c r="AC56" i="448" s="1"/>
  <c r="AD56" i="448" s="1"/>
  <c r="AE56" i="448" s="1"/>
  <c r="AF56" i="448" s="1"/>
  <c r="AI56" i="448" s="1"/>
  <c r="AI58" i="448" s="1"/>
  <c r="AN58" i="448" s="1"/>
  <c r="E31" i="15"/>
  <c r="E27" i="15"/>
  <c r="C24" i="15"/>
  <c r="AI77" i="453"/>
  <c r="F32" i="15"/>
  <c r="C21" i="15"/>
  <c r="C19" i="15"/>
  <c r="R25" i="1"/>
  <c r="H25" i="1" s="1"/>
  <c r="AK67" i="444"/>
  <c r="AN67" i="444" s="1"/>
  <c r="AJ67" i="445" s="1"/>
  <c r="AL67" i="445" s="1"/>
  <c r="AL67" i="446" s="1"/>
  <c r="AN67" i="446" s="1"/>
  <c r="AK67" i="447" s="1"/>
  <c r="AM67" i="447" s="1"/>
  <c r="AL67" i="448" s="1"/>
  <c r="AN67" i="448" s="1"/>
  <c r="AK67" i="449" s="1"/>
  <c r="AM67" i="449" s="1"/>
  <c r="AL67" i="450" s="1"/>
  <c r="AN67" i="450" s="1"/>
  <c r="AL67" i="451" s="1"/>
  <c r="AN67" i="451" s="1"/>
  <c r="AK67" i="452" s="1"/>
  <c r="AM67" i="452" s="1"/>
  <c r="AL67" i="453" s="1"/>
  <c r="AN67" i="453" s="1"/>
  <c r="AK67" i="454" s="1"/>
  <c r="AM67" i="454" s="1"/>
  <c r="AL67" i="455" s="1"/>
  <c r="AN67" i="455" s="1"/>
  <c r="L25" i="1"/>
  <c r="Q13" i="1"/>
  <c r="Q14" i="1" s="1"/>
  <c r="Q15" i="1" s="1"/>
  <c r="Q16" i="1" s="1"/>
  <c r="Q17" i="1" s="1"/>
  <c r="Q18" i="1" s="1"/>
  <c r="Q19" i="1" s="1"/>
  <c r="Q20" i="1" s="1"/>
  <c r="Q21" i="1" s="1"/>
  <c r="Q22" i="1" s="1"/>
  <c r="Q23" i="1" s="1"/>
  <c r="Q24" i="1" s="1"/>
  <c r="C26" i="15"/>
  <c r="C17" i="15"/>
  <c r="G20" i="15" s="1"/>
  <c r="C22" i="15"/>
  <c r="AA31" i="15"/>
  <c r="AA27" i="15"/>
  <c r="O32" i="15"/>
  <c r="AK84" i="444"/>
  <c r="AN84" i="444" s="1"/>
  <c r="AJ84" i="445" s="1"/>
  <c r="AL84" i="445" s="1"/>
  <c r="AL84" i="446" s="1"/>
  <c r="AN84" i="446" s="1"/>
  <c r="AK84" i="447" s="1"/>
  <c r="AM84" i="447" s="1"/>
  <c r="AL84" i="448" s="1"/>
  <c r="AN84" i="448" s="1"/>
  <c r="AK84" i="449" s="1"/>
  <c r="AM84" i="449" s="1"/>
  <c r="AL84" i="450" s="1"/>
  <c r="AN84" i="450" s="1"/>
  <c r="AL84" i="451" s="1"/>
  <c r="AN84" i="451" s="1"/>
  <c r="AK84" i="452" s="1"/>
  <c r="AM84" i="452" s="1"/>
  <c r="AL84" i="453" s="1"/>
  <c r="AN84" i="453" s="1"/>
  <c r="AK84" i="454" s="1"/>
  <c r="AM84" i="454" s="1"/>
  <c r="AL84" i="455" s="1"/>
  <c r="AN84" i="455" s="1"/>
  <c r="P13" i="1"/>
  <c r="P14" i="1" s="1"/>
  <c r="P15" i="1" s="1"/>
  <c r="P16" i="1" s="1"/>
  <c r="P17" i="1" s="1"/>
  <c r="P18" i="1" s="1"/>
  <c r="P19" i="1" s="1"/>
  <c r="P20" i="1" s="1"/>
  <c r="P21" i="1" s="1"/>
  <c r="P22" i="1" s="1"/>
  <c r="P23" i="1" s="1"/>
  <c r="P24" i="1" s="1"/>
  <c r="K25" i="1"/>
  <c r="G16" i="15"/>
  <c r="G18" i="15"/>
  <c r="AN55" i="454"/>
  <c r="AO55" i="450"/>
  <c r="AO55" i="446"/>
  <c r="AO55" i="453"/>
  <c r="AN55" i="449"/>
  <c r="AM55" i="445"/>
  <c r="AN55" i="452"/>
  <c r="AN55" i="447"/>
  <c r="AO55" i="444"/>
  <c r="AO55" i="455"/>
  <c r="AO55" i="451"/>
  <c r="AO55" i="448"/>
  <c r="F27" i="15"/>
  <c r="F31" i="15"/>
  <c r="C15" i="15"/>
  <c r="AJ73" i="450"/>
  <c r="U79" i="444"/>
  <c r="V70" i="444"/>
  <c r="AI77" i="455"/>
  <c r="AI69" i="450"/>
  <c r="AJ73" i="455"/>
  <c r="AI69" i="444"/>
  <c r="AI77" i="450"/>
  <c r="AI77" i="451"/>
  <c r="AI77" i="444"/>
  <c r="AI69" i="455"/>
  <c r="AJ73" i="451"/>
  <c r="AJ73" i="444"/>
  <c r="AI69" i="451"/>
  <c r="G26" i="15" l="1"/>
  <c r="G17" i="15"/>
  <c r="G24" i="15"/>
  <c r="AK58" i="449"/>
  <c r="B56" i="449"/>
  <c r="C56" i="449" s="1"/>
  <c r="D56" i="449" s="1"/>
  <c r="E56" i="449" s="1"/>
  <c r="F56" i="449" s="1"/>
  <c r="G56" i="449" s="1"/>
  <c r="H56" i="449" s="1"/>
  <c r="I56" i="449" s="1"/>
  <c r="J56" i="449" s="1"/>
  <c r="K56" i="449" s="1"/>
  <c r="L56" i="449" s="1"/>
  <c r="M56" i="449" s="1"/>
  <c r="N56" i="449" s="1"/>
  <c r="O56" i="449" s="1"/>
  <c r="P56" i="449" s="1"/>
  <c r="Q56" i="449" s="1"/>
  <c r="R56" i="449" s="1"/>
  <c r="S56" i="449" s="1"/>
  <c r="T56" i="449" s="1"/>
  <c r="U56" i="449" s="1"/>
  <c r="V56" i="449" s="1"/>
  <c r="W56" i="449" s="1"/>
  <c r="X56" i="449" s="1"/>
  <c r="Y56" i="449" s="1"/>
  <c r="Z56" i="449" s="1"/>
  <c r="AA56" i="449" s="1"/>
  <c r="AB56" i="449" s="1"/>
  <c r="AC56" i="449" s="1"/>
  <c r="AD56" i="449" s="1"/>
  <c r="AE56" i="449" s="1"/>
  <c r="AH56" i="449" s="1"/>
  <c r="AH58" i="449" s="1"/>
  <c r="AM58" i="449" s="1"/>
  <c r="AO55" i="452"/>
  <c r="AP55" i="448"/>
  <c r="AN55" i="445"/>
  <c r="AP55" i="455"/>
  <c r="AP55" i="451"/>
  <c r="AO55" i="447"/>
  <c r="AO55" i="454"/>
  <c r="AP55" i="450"/>
  <c r="AP55" i="444"/>
  <c r="AP55" i="453"/>
  <c r="AO55" i="449"/>
  <c r="AP55" i="446"/>
  <c r="AN69" i="444"/>
  <c r="U15" i="15"/>
  <c r="G15" i="15"/>
  <c r="G25" i="15"/>
  <c r="L11" i="1"/>
  <c r="P12" i="15"/>
  <c r="B35" i="1"/>
  <c r="E35" i="1" s="1"/>
  <c r="D34" i="445"/>
  <c r="C81" i="445"/>
  <c r="G21" i="15"/>
  <c r="C31" i="15"/>
  <c r="C27" i="15"/>
  <c r="G23" i="15"/>
  <c r="G19" i="15"/>
  <c r="K10" i="1"/>
  <c r="B33" i="1"/>
  <c r="C32" i="15"/>
  <c r="U22" i="15"/>
  <c r="U26" i="15"/>
  <c r="U21" i="15"/>
  <c r="G22" i="15"/>
  <c r="Y5" i="31"/>
  <c r="Z2" i="31" s="1"/>
  <c r="O2" i="27"/>
  <c r="N2" i="28"/>
  <c r="D27" i="15"/>
  <c r="V79" i="444"/>
  <c r="W70" i="444"/>
  <c r="U32" i="15" l="1"/>
  <c r="AN72" i="444"/>
  <c r="AJ69" i="445"/>
  <c r="E33" i="1"/>
  <c r="AC12" i="15"/>
  <c r="E34" i="445"/>
  <c r="D81" i="445"/>
  <c r="AL58" i="450"/>
  <c r="B56" i="450"/>
  <c r="C56" i="450" s="1"/>
  <c r="D56" i="450" s="1"/>
  <c r="E56" i="450" s="1"/>
  <c r="F56" i="450" s="1"/>
  <c r="G56" i="450" s="1"/>
  <c r="H56" i="450" s="1"/>
  <c r="I56" i="450" s="1"/>
  <c r="J56" i="450" s="1"/>
  <c r="K56" i="450" s="1"/>
  <c r="L56" i="450" s="1"/>
  <c r="M56" i="450" s="1"/>
  <c r="N56" i="450" s="1"/>
  <c r="O56" i="450" s="1"/>
  <c r="P56" i="450" s="1"/>
  <c r="Q56" i="450" s="1"/>
  <c r="R56" i="450" s="1"/>
  <c r="S56" i="450" s="1"/>
  <c r="T56" i="450" s="1"/>
  <c r="U56" i="450" s="1"/>
  <c r="V56" i="450" s="1"/>
  <c r="W56" i="450" s="1"/>
  <c r="X56" i="450" s="1"/>
  <c r="Y56" i="450" s="1"/>
  <c r="Z56" i="450" s="1"/>
  <c r="AA56" i="450" s="1"/>
  <c r="AB56" i="450" s="1"/>
  <c r="AC56" i="450" s="1"/>
  <c r="AD56" i="450" s="1"/>
  <c r="AE56" i="450" s="1"/>
  <c r="AF56" i="450" s="1"/>
  <c r="AI56" i="450" s="1"/>
  <c r="AI58" i="450" s="1"/>
  <c r="AN58" i="450" s="1"/>
  <c r="AN67" i="454"/>
  <c r="AO67" i="450"/>
  <c r="AO67" i="446"/>
  <c r="AO67" i="453"/>
  <c r="AN67" i="449"/>
  <c r="AM67" i="445"/>
  <c r="AN67" i="452"/>
  <c r="AO67" i="448"/>
  <c r="AO67" i="444"/>
  <c r="P28" i="15"/>
  <c r="AO67" i="455"/>
  <c r="AO67" i="451"/>
  <c r="AN67" i="447"/>
  <c r="U31" i="15"/>
  <c r="U27" i="15"/>
  <c r="W79" i="444"/>
  <c r="X70" i="444"/>
  <c r="AP67" i="453" l="1"/>
  <c r="AO67" i="449"/>
  <c r="AN67" i="445"/>
  <c r="AO67" i="452"/>
  <c r="AP67" i="448"/>
  <c r="AP67" i="444"/>
  <c r="AP67" i="455"/>
  <c r="AP67" i="451"/>
  <c r="AO67" i="447"/>
  <c r="AO67" i="454"/>
  <c r="AP67" i="450"/>
  <c r="AP67" i="446"/>
  <c r="AJ72" i="445"/>
  <c r="B70" i="445"/>
  <c r="AL69" i="445"/>
  <c r="F34" i="445"/>
  <c r="E81" i="445"/>
  <c r="AL58" i="451"/>
  <c r="B56" i="451"/>
  <c r="C56" i="451" s="1"/>
  <c r="D56" i="451" s="1"/>
  <c r="E56" i="451" s="1"/>
  <c r="F56" i="451" s="1"/>
  <c r="G56" i="451" s="1"/>
  <c r="H56" i="451" s="1"/>
  <c r="I56" i="451" s="1"/>
  <c r="J56" i="451" s="1"/>
  <c r="K56" i="451" s="1"/>
  <c r="L56" i="451" s="1"/>
  <c r="M56" i="451" s="1"/>
  <c r="N56" i="451" s="1"/>
  <c r="O56" i="451" s="1"/>
  <c r="P56" i="451" s="1"/>
  <c r="Q56" i="451" s="1"/>
  <c r="R56" i="451" s="1"/>
  <c r="S56" i="451" s="1"/>
  <c r="T56" i="451" s="1"/>
  <c r="U56" i="451" s="1"/>
  <c r="V56" i="451" s="1"/>
  <c r="W56" i="451" s="1"/>
  <c r="X56" i="451" s="1"/>
  <c r="Y56" i="451" s="1"/>
  <c r="Z56" i="451" s="1"/>
  <c r="AA56" i="451" s="1"/>
  <c r="AB56" i="451" s="1"/>
  <c r="AC56" i="451" s="1"/>
  <c r="AD56" i="451" s="1"/>
  <c r="AE56" i="451" s="1"/>
  <c r="AF56" i="451" s="1"/>
  <c r="AI56" i="451" s="1"/>
  <c r="AI58" i="451" s="1"/>
  <c r="AN58" i="451" s="1"/>
  <c r="AO84" i="453"/>
  <c r="B85" i="453" s="1"/>
  <c r="AN84" i="449"/>
  <c r="B85" i="449" s="1"/>
  <c r="C85" i="449" s="1"/>
  <c r="AO84" i="444"/>
  <c r="B85" i="444" s="1"/>
  <c r="C85" i="444" s="1"/>
  <c r="D85" i="444" s="1"/>
  <c r="AN84" i="452"/>
  <c r="B85" i="452" s="1"/>
  <c r="AO84" i="448"/>
  <c r="B85" i="448" s="1"/>
  <c r="C85" i="448" s="1"/>
  <c r="D85" i="448" s="1"/>
  <c r="E85" i="448" s="1"/>
  <c r="AM84" i="445"/>
  <c r="B85" i="445" s="1"/>
  <c r="C85" i="445" s="1"/>
  <c r="D85" i="445" s="1"/>
  <c r="AO84" i="455"/>
  <c r="B85" i="455" s="1"/>
  <c r="AO84" i="451"/>
  <c r="B85" i="451" s="1"/>
  <c r="C85" i="451" s="1"/>
  <c r="D85" i="451" s="1"/>
  <c r="AN84" i="447"/>
  <c r="B85" i="447" s="1"/>
  <c r="AC28" i="15"/>
  <c r="AC29" i="15" s="1"/>
  <c r="AN84" i="454"/>
  <c r="B85" i="454" s="1"/>
  <c r="C85" i="454" s="1"/>
  <c r="AO84" i="450"/>
  <c r="B85" i="450" s="1"/>
  <c r="AO84" i="446"/>
  <c r="B85" i="446" s="1"/>
  <c r="C85" i="446" s="1"/>
  <c r="X79" i="444"/>
  <c r="Y70" i="444"/>
  <c r="C85" i="450" l="1"/>
  <c r="B66" i="450"/>
  <c r="E85" i="451"/>
  <c r="D66" i="451"/>
  <c r="C85" i="452"/>
  <c r="B66" i="452"/>
  <c r="D85" i="454"/>
  <c r="C66" i="454"/>
  <c r="C85" i="455"/>
  <c r="B66" i="455"/>
  <c r="E85" i="444"/>
  <c r="F85" i="444" s="1"/>
  <c r="G85" i="444" s="1"/>
  <c r="D66" i="444"/>
  <c r="AL72" i="445"/>
  <c r="AL69" i="446"/>
  <c r="AP84" i="453"/>
  <c r="AO84" i="449"/>
  <c r="AP84" i="444"/>
  <c r="AP84" i="451"/>
  <c r="AO84" i="447"/>
  <c r="AN84" i="445"/>
  <c r="AP84" i="455"/>
  <c r="AO84" i="452"/>
  <c r="AP84" i="448"/>
  <c r="AD29" i="15"/>
  <c r="AO84" i="454"/>
  <c r="AP84" i="450"/>
  <c r="AP84" i="446"/>
  <c r="E85" i="445"/>
  <c r="D66" i="445"/>
  <c r="D85" i="449"/>
  <c r="C66" i="449"/>
  <c r="B79" i="445"/>
  <c r="C70" i="445"/>
  <c r="D85" i="446"/>
  <c r="C66" i="446"/>
  <c r="C85" i="447"/>
  <c r="B66" i="447"/>
  <c r="F85" i="448"/>
  <c r="E66" i="448"/>
  <c r="C85" i="453"/>
  <c r="B66" i="453"/>
  <c r="AK58" i="452"/>
  <c r="B56" i="452"/>
  <c r="C56" i="452" s="1"/>
  <c r="D56" i="452" s="1"/>
  <c r="E56" i="452" s="1"/>
  <c r="F56" i="452" s="1"/>
  <c r="G56" i="452" s="1"/>
  <c r="H56" i="452" s="1"/>
  <c r="I56" i="452" s="1"/>
  <c r="J56" i="452" s="1"/>
  <c r="K56" i="452" s="1"/>
  <c r="L56" i="452" s="1"/>
  <c r="M56" i="452" s="1"/>
  <c r="N56" i="452" s="1"/>
  <c r="O56" i="452" s="1"/>
  <c r="P56" i="452" s="1"/>
  <c r="Q56" i="452" s="1"/>
  <c r="R56" i="452" s="1"/>
  <c r="S56" i="452" s="1"/>
  <c r="T56" i="452" s="1"/>
  <c r="U56" i="452" s="1"/>
  <c r="V56" i="452" s="1"/>
  <c r="W56" i="452" s="1"/>
  <c r="X56" i="452" s="1"/>
  <c r="Y56" i="452" s="1"/>
  <c r="Z56" i="452" s="1"/>
  <c r="AA56" i="452" s="1"/>
  <c r="AB56" i="452" s="1"/>
  <c r="AC56" i="452" s="1"/>
  <c r="AD56" i="452" s="1"/>
  <c r="AE56" i="452" s="1"/>
  <c r="AH56" i="452" s="1"/>
  <c r="AH58" i="452" s="1"/>
  <c r="AM58" i="452" s="1"/>
  <c r="G34" i="445"/>
  <c r="F81" i="445"/>
  <c r="Y79" i="444"/>
  <c r="Z70" i="444"/>
  <c r="AL58" i="453" l="1"/>
  <c r="B56" i="453"/>
  <c r="C56" i="453" s="1"/>
  <c r="D56" i="453" s="1"/>
  <c r="E56" i="453" s="1"/>
  <c r="F56" i="453" s="1"/>
  <c r="G56" i="453" s="1"/>
  <c r="H56" i="453" s="1"/>
  <c r="I56" i="453" s="1"/>
  <c r="J56" i="453" s="1"/>
  <c r="K56" i="453" s="1"/>
  <c r="L56" i="453" s="1"/>
  <c r="M56" i="453" s="1"/>
  <c r="N56" i="453" s="1"/>
  <c r="O56" i="453" s="1"/>
  <c r="P56" i="453" s="1"/>
  <c r="Q56" i="453" s="1"/>
  <c r="R56" i="453" s="1"/>
  <c r="S56" i="453" s="1"/>
  <c r="T56" i="453" s="1"/>
  <c r="U56" i="453" s="1"/>
  <c r="V56" i="453" s="1"/>
  <c r="W56" i="453" s="1"/>
  <c r="X56" i="453" s="1"/>
  <c r="Y56" i="453" s="1"/>
  <c r="Z56" i="453" s="1"/>
  <c r="AA56" i="453" s="1"/>
  <c r="AB56" i="453" s="1"/>
  <c r="AC56" i="453" s="1"/>
  <c r="AD56" i="453" s="1"/>
  <c r="AE56" i="453" s="1"/>
  <c r="AF56" i="453" s="1"/>
  <c r="AI56" i="453" s="1"/>
  <c r="AI58" i="453" s="1"/>
  <c r="AN58" i="453" s="1"/>
  <c r="H85" i="444"/>
  <c r="G66" i="444"/>
  <c r="E85" i="454"/>
  <c r="D66" i="454"/>
  <c r="F85" i="451"/>
  <c r="E66" i="451"/>
  <c r="G85" i="448"/>
  <c r="F66" i="448"/>
  <c r="E85" i="446"/>
  <c r="D66" i="446"/>
  <c r="E85" i="449"/>
  <c r="D66" i="449"/>
  <c r="AL72" i="446"/>
  <c r="B70" i="446"/>
  <c r="AN69" i="446"/>
  <c r="C79" i="445"/>
  <c r="D70" i="445"/>
  <c r="D85" i="455"/>
  <c r="C66" i="455"/>
  <c r="D85" i="452"/>
  <c r="C66" i="452"/>
  <c r="D85" i="450"/>
  <c r="C66" i="450"/>
  <c r="H34" i="445"/>
  <c r="G81" i="445"/>
  <c r="D85" i="453"/>
  <c r="E85" i="453" s="1"/>
  <c r="F85" i="453" s="1"/>
  <c r="C66" i="453"/>
  <c r="D85" i="447"/>
  <c r="C66" i="447"/>
  <c r="F85" i="445"/>
  <c r="E66" i="445"/>
  <c r="Z79" i="444"/>
  <c r="AA70" i="444"/>
  <c r="AN72" i="446" l="1"/>
  <c r="AK69" i="447"/>
  <c r="F85" i="449"/>
  <c r="E66" i="449"/>
  <c r="H85" i="448"/>
  <c r="G66" i="448"/>
  <c r="F85" i="454"/>
  <c r="E66" i="454"/>
  <c r="E85" i="447"/>
  <c r="F85" i="447" s="1"/>
  <c r="G85" i="447" s="1"/>
  <c r="D66" i="447"/>
  <c r="I34" i="445"/>
  <c r="H81" i="445"/>
  <c r="E85" i="452"/>
  <c r="D66" i="452"/>
  <c r="D79" i="445"/>
  <c r="E70" i="445"/>
  <c r="B79" i="446"/>
  <c r="C70" i="446"/>
  <c r="AK58" i="454"/>
  <c r="B56" i="454"/>
  <c r="C56" i="454" s="1"/>
  <c r="D56" i="454" s="1"/>
  <c r="E56" i="454" s="1"/>
  <c r="F56" i="454" s="1"/>
  <c r="G56" i="454" s="1"/>
  <c r="H56" i="454" s="1"/>
  <c r="I56" i="454" s="1"/>
  <c r="J56" i="454" s="1"/>
  <c r="K56" i="454" s="1"/>
  <c r="L56" i="454" s="1"/>
  <c r="M56" i="454" s="1"/>
  <c r="N56" i="454" s="1"/>
  <c r="O56" i="454" s="1"/>
  <c r="P56" i="454" s="1"/>
  <c r="Q56" i="454" s="1"/>
  <c r="R56" i="454" s="1"/>
  <c r="S56" i="454" s="1"/>
  <c r="T56" i="454" s="1"/>
  <c r="U56" i="454" s="1"/>
  <c r="V56" i="454" s="1"/>
  <c r="W56" i="454" s="1"/>
  <c r="X56" i="454" s="1"/>
  <c r="Y56" i="454" s="1"/>
  <c r="Z56" i="454" s="1"/>
  <c r="AA56" i="454" s="1"/>
  <c r="AB56" i="454" s="1"/>
  <c r="AC56" i="454" s="1"/>
  <c r="AD56" i="454" s="1"/>
  <c r="AE56" i="454" s="1"/>
  <c r="AH56" i="454" s="1"/>
  <c r="AH58" i="454" s="1"/>
  <c r="AM58" i="454" s="1"/>
  <c r="G85" i="445"/>
  <c r="F66" i="445"/>
  <c r="F85" i="446"/>
  <c r="E66" i="446"/>
  <c r="G85" i="451"/>
  <c r="F66" i="451"/>
  <c r="I85" i="444"/>
  <c r="H66" i="444"/>
  <c r="G85" i="453"/>
  <c r="F66" i="453"/>
  <c r="E85" i="450"/>
  <c r="F85" i="450" s="1"/>
  <c r="G85" i="450" s="1"/>
  <c r="D66" i="450"/>
  <c r="E85" i="455"/>
  <c r="D66" i="455"/>
  <c r="AA79" i="444"/>
  <c r="AB70" i="444"/>
  <c r="AL58" i="455" l="1"/>
  <c r="B56" i="455"/>
  <c r="C56" i="455" s="1"/>
  <c r="D56" i="455" s="1"/>
  <c r="E56" i="455" s="1"/>
  <c r="F56" i="455" s="1"/>
  <c r="G56" i="455" s="1"/>
  <c r="H56" i="455" s="1"/>
  <c r="I56" i="455" s="1"/>
  <c r="J56" i="455" s="1"/>
  <c r="K56" i="455" s="1"/>
  <c r="L56" i="455" s="1"/>
  <c r="M56" i="455" s="1"/>
  <c r="N56" i="455" s="1"/>
  <c r="O56" i="455" s="1"/>
  <c r="P56" i="455" s="1"/>
  <c r="Q56" i="455" s="1"/>
  <c r="R56" i="455" s="1"/>
  <c r="S56" i="455" s="1"/>
  <c r="T56" i="455" s="1"/>
  <c r="U56" i="455" s="1"/>
  <c r="V56" i="455" s="1"/>
  <c r="W56" i="455" s="1"/>
  <c r="X56" i="455" s="1"/>
  <c r="Y56" i="455" s="1"/>
  <c r="Z56" i="455" s="1"/>
  <c r="AA56" i="455" s="1"/>
  <c r="AB56" i="455" s="1"/>
  <c r="AC56" i="455" s="1"/>
  <c r="AD56" i="455" s="1"/>
  <c r="AE56" i="455" s="1"/>
  <c r="AF56" i="455" s="1"/>
  <c r="AI56" i="455" s="1"/>
  <c r="AI58" i="455" s="1"/>
  <c r="AN58" i="455" s="1"/>
  <c r="F70" i="445"/>
  <c r="E79" i="445"/>
  <c r="H85" i="450"/>
  <c r="G66" i="450"/>
  <c r="J85" i="444"/>
  <c r="I66" i="444"/>
  <c r="G85" i="446"/>
  <c r="F66" i="446"/>
  <c r="J34" i="445"/>
  <c r="I81" i="445"/>
  <c r="G85" i="454"/>
  <c r="F66" i="454"/>
  <c r="G85" i="449"/>
  <c r="H85" i="449" s="1"/>
  <c r="I85" i="449" s="1"/>
  <c r="F66" i="449"/>
  <c r="D70" i="446"/>
  <c r="C79" i="446"/>
  <c r="AK72" i="447"/>
  <c r="B70" i="447"/>
  <c r="AM69" i="447"/>
  <c r="F85" i="455"/>
  <c r="G85" i="455" s="1"/>
  <c r="H85" i="455" s="1"/>
  <c r="E66" i="455"/>
  <c r="H85" i="453"/>
  <c r="G66" i="453"/>
  <c r="H85" i="451"/>
  <c r="G66" i="451"/>
  <c r="H85" i="445"/>
  <c r="G66" i="445"/>
  <c r="F85" i="452"/>
  <c r="G85" i="452" s="1"/>
  <c r="H85" i="452" s="1"/>
  <c r="E66" i="452"/>
  <c r="H85" i="447"/>
  <c r="G66" i="447"/>
  <c r="I85" i="448"/>
  <c r="H66" i="448"/>
  <c r="AB79" i="444"/>
  <c r="AC70" i="444"/>
  <c r="J85" i="448" l="1"/>
  <c r="K85" i="448" s="1"/>
  <c r="L85" i="448" s="1"/>
  <c r="I66" i="448"/>
  <c r="I85" i="452"/>
  <c r="H66" i="452"/>
  <c r="B79" i="447"/>
  <c r="C70" i="447"/>
  <c r="K34" i="445"/>
  <c r="J81" i="445"/>
  <c r="K85" i="444"/>
  <c r="J66" i="444"/>
  <c r="G70" i="445"/>
  <c r="F79" i="445"/>
  <c r="I85" i="451"/>
  <c r="J85" i="451" s="1"/>
  <c r="K85" i="451" s="1"/>
  <c r="H66" i="451"/>
  <c r="H85" i="446"/>
  <c r="I85" i="446" s="1"/>
  <c r="J85" i="446" s="1"/>
  <c r="G66" i="446"/>
  <c r="I85" i="450"/>
  <c r="H66" i="450"/>
  <c r="I85" i="455"/>
  <c r="H66" i="455"/>
  <c r="H85" i="454"/>
  <c r="I85" i="454" s="1"/>
  <c r="J85" i="454" s="1"/>
  <c r="G66" i="454"/>
  <c r="I85" i="447"/>
  <c r="H66" i="447"/>
  <c r="I85" i="445"/>
  <c r="J85" i="445" s="1"/>
  <c r="K85" i="445" s="1"/>
  <c r="H66" i="445"/>
  <c r="I85" i="453"/>
  <c r="H66" i="453"/>
  <c r="AM72" i="447"/>
  <c r="AL69" i="448"/>
  <c r="D79" i="446"/>
  <c r="E70" i="446"/>
  <c r="J85" i="449"/>
  <c r="I66" i="449"/>
  <c r="AC79" i="444"/>
  <c r="AD70" i="444"/>
  <c r="E79" i="446" l="1"/>
  <c r="F70" i="446"/>
  <c r="J85" i="453"/>
  <c r="I66" i="453"/>
  <c r="J85" i="447"/>
  <c r="I66" i="447"/>
  <c r="J85" i="455"/>
  <c r="I66" i="455"/>
  <c r="K85" i="446"/>
  <c r="J66" i="446"/>
  <c r="G79" i="445"/>
  <c r="H70" i="445"/>
  <c r="L34" i="445"/>
  <c r="K81" i="445"/>
  <c r="J85" i="452"/>
  <c r="I66" i="452"/>
  <c r="AL72" i="448"/>
  <c r="B70" i="448"/>
  <c r="AN69" i="448"/>
  <c r="C79" i="447"/>
  <c r="D70" i="447"/>
  <c r="K85" i="449"/>
  <c r="J66" i="449"/>
  <c r="L85" i="445"/>
  <c r="K66" i="445"/>
  <c r="K85" i="454"/>
  <c r="J66" i="454"/>
  <c r="J85" i="450"/>
  <c r="I66" i="450"/>
  <c r="L85" i="451"/>
  <c r="K66" i="451"/>
  <c r="K66" i="444"/>
  <c r="L85" i="444"/>
  <c r="M85" i="444" s="1"/>
  <c r="N85" i="444" s="1"/>
  <c r="M85" i="448"/>
  <c r="L66" i="448"/>
  <c r="AD79" i="444"/>
  <c r="AE70" i="444"/>
  <c r="K85" i="450" l="1"/>
  <c r="J66" i="450"/>
  <c r="N85" i="448"/>
  <c r="M66" i="448"/>
  <c r="M34" i="445"/>
  <c r="L81" i="445"/>
  <c r="L85" i="446"/>
  <c r="K66" i="446"/>
  <c r="K85" i="447"/>
  <c r="L85" i="447" s="1"/>
  <c r="M85" i="447" s="1"/>
  <c r="N85" i="447" s="1"/>
  <c r="O85" i="447" s="1"/>
  <c r="J66" i="447"/>
  <c r="M85" i="445"/>
  <c r="L66" i="445"/>
  <c r="M85" i="451"/>
  <c r="L66" i="451"/>
  <c r="L85" i="454"/>
  <c r="K66" i="454"/>
  <c r="L85" i="449"/>
  <c r="K66" i="449"/>
  <c r="AN72" i="448"/>
  <c r="AK69" i="449"/>
  <c r="K85" i="452"/>
  <c r="J66" i="452"/>
  <c r="H79" i="445"/>
  <c r="I70" i="445"/>
  <c r="F79" i="446"/>
  <c r="G70" i="446"/>
  <c r="N66" i="444"/>
  <c r="O85" i="444"/>
  <c r="E70" i="447"/>
  <c r="D79" i="447"/>
  <c r="B79" i="448"/>
  <c r="C70" i="448"/>
  <c r="K85" i="455"/>
  <c r="J66" i="455"/>
  <c r="K85" i="453"/>
  <c r="L85" i="453" s="1"/>
  <c r="M85" i="453" s="1"/>
  <c r="J66" i="453"/>
  <c r="AE79" i="444"/>
  <c r="AF70" i="444"/>
  <c r="AF79" i="444" s="1"/>
  <c r="H70" i="446" l="1"/>
  <c r="G79" i="446"/>
  <c r="E79" i="447"/>
  <c r="F70" i="447"/>
  <c r="L85" i="452"/>
  <c r="K66" i="452"/>
  <c r="M85" i="449"/>
  <c r="L66" i="449"/>
  <c r="N85" i="451"/>
  <c r="M66" i="451"/>
  <c r="P85" i="447"/>
  <c r="O66" i="447"/>
  <c r="N34" i="445"/>
  <c r="M81" i="445"/>
  <c r="L85" i="450"/>
  <c r="M85" i="450" s="1"/>
  <c r="N85" i="450" s="1"/>
  <c r="K66" i="450"/>
  <c r="L85" i="455"/>
  <c r="K66" i="455"/>
  <c r="N85" i="453"/>
  <c r="M66" i="453"/>
  <c r="D70" i="448"/>
  <c r="C79" i="448"/>
  <c r="P85" i="444"/>
  <c r="O66" i="444"/>
  <c r="I79" i="445"/>
  <c r="J70" i="445"/>
  <c r="AK72" i="449"/>
  <c r="B70" i="449"/>
  <c r="AM69" i="449"/>
  <c r="M85" i="454"/>
  <c r="L66" i="454"/>
  <c r="N85" i="445"/>
  <c r="M66" i="445"/>
  <c r="M85" i="446"/>
  <c r="L66" i="446"/>
  <c r="O85" i="448"/>
  <c r="N66" i="448"/>
  <c r="AI79" i="444"/>
  <c r="AN79" i="444" l="1"/>
  <c r="V15" i="15"/>
  <c r="N85" i="446"/>
  <c r="M66" i="446"/>
  <c r="N85" i="454"/>
  <c r="M66" i="454"/>
  <c r="Q85" i="444"/>
  <c r="P66" i="444"/>
  <c r="O85" i="453"/>
  <c r="N66" i="453"/>
  <c r="O85" i="450"/>
  <c r="N66" i="450"/>
  <c r="Q85" i="447"/>
  <c r="P66" i="447"/>
  <c r="N85" i="449"/>
  <c r="O85" i="449" s="1"/>
  <c r="P85" i="449" s="1"/>
  <c r="M66" i="449"/>
  <c r="J79" i="445"/>
  <c r="K70" i="445"/>
  <c r="P85" i="448"/>
  <c r="O66" i="448"/>
  <c r="O85" i="445"/>
  <c r="N66" i="445"/>
  <c r="AM72" i="449"/>
  <c r="AL69" i="450"/>
  <c r="D79" i="448"/>
  <c r="E70" i="448"/>
  <c r="M85" i="455"/>
  <c r="N85" i="455" s="1"/>
  <c r="O85" i="455" s="1"/>
  <c r="L66" i="455"/>
  <c r="O34" i="445"/>
  <c r="N81" i="445"/>
  <c r="O85" i="451"/>
  <c r="N66" i="451"/>
  <c r="M85" i="452"/>
  <c r="N85" i="452" s="1"/>
  <c r="O85" i="452" s="1"/>
  <c r="L66" i="452"/>
  <c r="I70" i="446"/>
  <c r="H79" i="446"/>
  <c r="B79" i="449"/>
  <c r="C70" i="449"/>
  <c r="F79" i="447"/>
  <c r="G70" i="447"/>
  <c r="C79" i="449" l="1"/>
  <c r="D70" i="449"/>
  <c r="I79" i="446"/>
  <c r="J70" i="446"/>
  <c r="P85" i="451"/>
  <c r="Q85" i="451" s="1"/>
  <c r="R85" i="451" s="1"/>
  <c r="O66" i="451"/>
  <c r="AL72" i="450"/>
  <c r="B70" i="450"/>
  <c r="AN69" i="450"/>
  <c r="P85" i="455"/>
  <c r="O66" i="455"/>
  <c r="Q85" i="448"/>
  <c r="R85" i="448" s="1"/>
  <c r="S85" i="448" s="1"/>
  <c r="P66" i="448"/>
  <c r="Q85" i="449"/>
  <c r="P66" i="449"/>
  <c r="P85" i="450"/>
  <c r="O66" i="450"/>
  <c r="R85" i="444"/>
  <c r="Q66" i="444"/>
  <c r="O85" i="446"/>
  <c r="P85" i="446" s="1"/>
  <c r="Q85" i="446" s="1"/>
  <c r="N66" i="446"/>
  <c r="E79" i="448"/>
  <c r="F70" i="448"/>
  <c r="K79" i="445"/>
  <c r="L70" i="445"/>
  <c r="P85" i="452"/>
  <c r="O66" i="452"/>
  <c r="G79" i="447"/>
  <c r="H70" i="447"/>
  <c r="O81" i="445"/>
  <c r="P34" i="445"/>
  <c r="P85" i="445"/>
  <c r="Q85" i="445" s="1"/>
  <c r="R85" i="445" s="1"/>
  <c r="O66" i="445"/>
  <c r="R85" i="447"/>
  <c r="Q66" i="447"/>
  <c r="P85" i="453"/>
  <c r="O66" i="453"/>
  <c r="O85" i="454"/>
  <c r="P85" i="454" s="1"/>
  <c r="Q85" i="454" s="1"/>
  <c r="N66" i="454"/>
  <c r="AJ79" i="445"/>
  <c r="X15" i="15"/>
  <c r="AO79" i="444" s="1"/>
  <c r="Q85" i="453" l="1"/>
  <c r="P66" i="453"/>
  <c r="I70" i="447"/>
  <c r="H79" i="447"/>
  <c r="R66" i="444"/>
  <c r="S85" i="444"/>
  <c r="T85" i="444" s="1"/>
  <c r="U85" i="444" s="1"/>
  <c r="R85" i="449"/>
  <c r="Q66" i="449"/>
  <c r="Q85" i="455"/>
  <c r="P66" i="455"/>
  <c r="S85" i="445"/>
  <c r="R66" i="445"/>
  <c r="F79" i="448"/>
  <c r="G70" i="448"/>
  <c r="R85" i="454"/>
  <c r="Q66" i="454"/>
  <c r="S85" i="447"/>
  <c r="T85" i="447" s="1"/>
  <c r="U85" i="447" s="1"/>
  <c r="R66" i="447"/>
  <c r="P81" i="445"/>
  <c r="Q34" i="445"/>
  <c r="L79" i="445"/>
  <c r="M70" i="445"/>
  <c r="AN72" i="450"/>
  <c r="AL69" i="451"/>
  <c r="S85" i="451"/>
  <c r="R66" i="451"/>
  <c r="D79" i="449"/>
  <c r="E70" i="449"/>
  <c r="Q85" i="452"/>
  <c r="P66" i="452"/>
  <c r="R85" i="446"/>
  <c r="Q66" i="446"/>
  <c r="Q85" i="450"/>
  <c r="P66" i="450"/>
  <c r="T85" i="448"/>
  <c r="S66" i="448"/>
  <c r="B79" i="450"/>
  <c r="C70" i="450"/>
  <c r="K70" i="446"/>
  <c r="J79" i="446"/>
  <c r="D70" i="450" l="1"/>
  <c r="C79" i="450"/>
  <c r="AL72" i="451"/>
  <c r="B70" i="451"/>
  <c r="AN69" i="451"/>
  <c r="K79" i="446"/>
  <c r="L70" i="446"/>
  <c r="U85" i="448"/>
  <c r="T66" i="448"/>
  <c r="S85" i="446"/>
  <c r="R66" i="446"/>
  <c r="S85" i="454"/>
  <c r="R66" i="454"/>
  <c r="T85" i="445"/>
  <c r="S66" i="445"/>
  <c r="S85" i="449"/>
  <c r="R66" i="449"/>
  <c r="I79" i="447"/>
  <c r="J70" i="447"/>
  <c r="M79" i="445"/>
  <c r="N70" i="445"/>
  <c r="H70" i="448"/>
  <c r="G79" i="448"/>
  <c r="V85" i="444"/>
  <c r="U66" i="444"/>
  <c r="R85" i="450"/>
  <c r="Q66" i="450"/>
  <c r="R85" i="452"/>
  <c r="Q66" i="452"/>
  <c r="T85" i="451"/>
  <c r="S66" i="451"/>
  <c r="V85" i="447"/>
  <c r="U66" i="447"/>
  <c r="R85" i="455"/>
  <c r="Q66" i="455"/>
  <c r="R85" i="453"/>
  <c r="S85" i="453" s="1"/>
  <c r="T85" i="453" s="1"/>
  <c r="Q66" i="453"/>
  <c r="E79" i="449"/>
  <c r="F70" i="449"/>
  <c r="R34" i="445"/>
  <c r="Q81" i="445"/>
  <c r="U85" i="451" l="1"/>
  <c r="T66" i="451"/>
  <c r="S85" i="450"/>
  <c r="T85" i="450" s="1"/>
  <c r="U85" i="450" s="1"/>
  <c r="R66" i="450"/>
  <c r="J79" i="447"/>
  <c r="K70" i="447"/>
  <c r="L79" i="446"/>
  <c r="M70" i="446"/>
  <c r="S34" i="445"/>
  <c r="R81" i="445"/>
  <c r="I70" i="448"/>
  <c r="H79" i="448"/>
  <c r="U85" i="445"/>
  <c r="T66" i="445"/>
  <c r="T85" i="446"/>
  <c r="S66" i="446"/>
  <c r="U85" i="453"/>
  <c r="T66" i="453"/>
  <c r="G70" i="449"/>
  <c r="F79" i="449"/>
  <c r="W85" i="447"/>
  <c r="V66" i="447"/>
  <c r="S85" i="452"/>
  <c r="R66" i="452"/>
  <c r="N79" i="445"/>
  <c r="O70" i="445"/>
  <c r="AN72" i="451"/>
  <c r="AK69" i="452"/>
  <c r="D79" i="450"/>
  <c r="E70" i="450"/>
  <c r="S85" i="455"/>
  <c r="R66" i="455"/>
  <c r="V66" i="444"/>
  <c r="W85" i="444"/>
  <c r="T85" i="449"/>
  <c r="S66" i="449"/>
  <c r="T85" i="454"/>
  <c r="S66" i="454"/>
  <c r="V85" i="448"/>
  <c r="W85" i="448" s="1"/>
  <c r="U66" i="448"/>
  <c r="B79" i="451"/>
  <c r="C70" i="451"/>
  <c r="X85" i="444" l="1"/>
  <c r="W66" i="444"/>
  <c r="O79" i="445"/>
  <c r="P70" i="445"/>
  <c r="X85" i="447"/>
  <c r="W66" i="447"/>
  <c r="V85" i="453"/>
  <c r="U66" i="453"/>
  <c r="V85" i="445"/>
  <c r="U66" i="445"/>
  <c r="X85" i="448"/>
  <c r="Y85" i="448" s="1"/>
  <c r="Z85" i="448" s="1"/>
  <c r="W66" i="448"/>
  <c r="U85" i="449"/>
  <c r="V85" i="449" s="1"/>
  <c r="W85" i="449" s="1"/>
  <c r="T66" i="449"/>
  <c r="T85" i="455"/>
  <c r="U85" i="455" s="1"/>
  <c r="V85" i="455" s="1"/>
  <c r="S66" i="455"/>
  <c r="T85" i="452"/>
  <c r="U85" i="452" s="1"/>
  <c r="V85" i="452" s="1"/>
  <c r="S66" i="452"/>
  <c r="G79" i="449"/>
  <c r="H70" i="449"/>
  <c r="U85" i="446"/>
  <c r="T66" i="446"/>
  <c r="I79" i="448"/>
  <c r="J70" i="448"/>
  <c r="N70" i="446"/>
  <c r="M79" i="446"/>
  <c r="V85" i="450"/>
  <c r="U66" i="450"/>
  <c r="U85" i="454"/>
  <c r="T66" i="454"/>
  <c r="K79" i="447"/>
  <c r="L70" i="447"/>
  <c r="C79" i="451"/>
  <c r="D70" i="451"/>
  <c r="E79" i="450"/>
  <c r="F70" i="450"/>
  <c r="AK72" i="452"/>
  <c r="B70" i="452"/>
  <c r="AM69" i="452"/>
  <c r="S81" i="445"/>
  <c r="T34" i="445"/>
  <c r="V85" i="451"/>
  <c r="U66" i="451"/>
  <c r="W85" i="451" l="1"/>
  <c r="X85" i="451" s="1"/>
  <c r="Y85" i="451" s="1"/>
  <c r="V66" i="451"/>
  <c r="D79" i="451"/>
  <c r="E70" i="451"/>
  <c r="W85" i="450"/>
  <c r="V66" i="450"/>
  <c r="T81" i="445"/>
  <c r="U34" i="445"/>
  <c r="V85" i="454"/>
  <c r="W85" i="454" s="1"/>
  <c r="X85" i="454" s="1"/>
  <c r="U66" i="454"/>
  <c r="F79" i="450"/>
  <c r="G70" i="450"/>
  <c r="M70" i="447"/>
  <c r="L79" i="447"/>
  <c r="N79" i="446"/>
  <c r="O70" i="446"/>
  <c r="V85" i="446"/>
  <c r="W85" i="446" s="1"/>
  <c r="X85" i="446" s="1"/>
  <c r="U66" i="446"/>
  <c r="W85" i="452"/>
  <c r="V66" i="452"/>
  <c r="X85" i="449"/>
  <c r="W66" i="449"/>
  <c r="W85" i="445"/>
  <c r="X85" i="445" s="1"/>
  <c r="Y85" i="445" s="1"/>
  <c r="V66" i="445"/>
  <c r="Y85" i="447"/>
  <c r="X66" i="447"/>
  <c r="AA85" i="448"/>
  <c r="Z66" i="448"/>
  <c r="W85" i="453"/>
  <c r="V66" i="453"/>
  <c r="Q70" i="445"/>
  <c r="P79" i="445"/>
  <c r="AM72" i="452"/>
  <c r="AL69" i="453"/>
  <c r="J79" i="448"/>
  <c r="K70" i="448"/>
  <c r="H79" i="449"/>
  <c r="I70" i="449"/>
  <c r="Y85" i="444"/>
  <c r="X66" i="444"/>
  <c r="B79" i="452"/>
  <c r="C70" i="452"/>
  <c r="W85" i="455"/>
  <c r="V66" i="455"/>
  <c r="X85" i="455" l="1"/>
  <c r="W66" i="455"/>
  <c r="Z85" i="445"/>
  <c r="Y66" i="445"/>
  <c r="AL72" i="453"/>
  <c r="B70" i="453"/>
  <c r="AN69" i="453"/>
  <c r="X85" i="453"/>
  <c r="W66" i="453"/>
  <c r="Z85" i="447"/>
  <c r="AA85" i="447" s="1"/>
  <c r="AB85" i="447" s="1"/>
  <c r="Y66" i="447"/>
  <c r="Y85" i="449"/>
  <c r="X66" i="449"/>
  <c r="Y85" i="446"/>
  <c r="X66" i="446"/>
  <c r="M79" i="447"/>
  <c r="N70" i="447"/>
  <c r="Y85" i="454"/>
  <c r="X66" i="454"/>
  <c r="X85" i="450"/>
  <c r="W66" i="450"/>
  <c r="Z85" i="451"/>
  <c r="Y66" i="451"/>
  <c r="AB85" i="448"/>
  <c r="AA66" i="448"/>
  <c r="X85" i="452"/>
  <c r="W66" i="452"/>
  <c r="D70" i="452"/>
  <c r="C79" i="452"/>
  <c r="J70" i="449"/>
  <c r="I79" i="449"/>
  <c r="K79" i="448"/>
  <c r="L70" i="448"/>
  <c r="O79" i="446"/>
  <c r="P70" i="446"/>
  <c r="G79" i="450"/>
  <c r="H70" i="450"/>
  <c r="V34" i="445"/>
  <c r="U81" i="445"/>
  <c r="E79" i="451"/>
  <c r="F70" i="451"/>
  <c r="Y66" i="444"/>
  <c r="Z85" i="444"/>
  <c r="AA85" i="444" s="1"/>
  <c r="AB85" i="444" s="1"/>
  <c r="Q79" i="445"/>
  <c r="R70" i="445"/>
  <c r="P79" i="446" l="1"/>
  <c r="Q70" i="446"/>
  <c r="W34" i="445"/>
  <c r="V81" i="445"/>
  <c r="J79" i="449"/>
  <c r="K70" i="449"/>
  <c r="Y85" i="452"/>
  <c r="X66" i="452"/>
  <c r="AA85" i="451"/>
  <c r="Z66" i="451"/>
  <c r="Z85" i="454"/>
  <c r="Y66" i="454"/>
  <c r="Z85" i="446"/>
  <c r="Y66" i="446"/>
  <c r="AC85" i="447"/>
  <c r="AB66" i="447"/>
  <c r="AN72" i="453"/>
  <c r="AK69" i="454"/>
  <c r="AA85" i="445"/>
  <c r="Z66" i="445"/>
  <c r="AC85" i="444"/>
  <c r="AB66" i="444"/>
  <c r="O70" i="447"/>
  <c r="N79" i="447"/>
  <c r="B79" i="453"/>
  <c r="C70" i="453"/>
  <c r="R79" i="445"/>
  <c r="S70" i="445"/>
  <c r="F79" i="451"/>
  <c r="G70" i="451"/>
  <c r="H79" i="450"/>
  <c r="I70" i="450"/>
  <c r="L79" i="448"/>
  <c r="M70" i="448"/>
  <c r="D79" i="452"/>
  <c r="E70" i="452"/>
  <c r="AC85" i="448"/>
  <c r="AB66" i="448"/>
  <c r="Y85" i="450"/>
  <c r="X66" i="450"/>
  <c r="Z85" i="449"/>
  <c r="Y66" i="449"/>
  <c r="Y85" i="453"/>
  <c r="Z85" i="453" s="1"/>
  <c r="AA85" i="453" s="1"/>
  <c r="X66" i="453"/>
  <c r="Y85" i="455"/>
  <c r="X66" i="455"/>
  <c r="G79" i="451" l="1"/>
  <c r="H70" i="451"/>
  <c r="D70" i="453"/>
  <c r="C79" i="453"/>
  <c r="AK72" i="454"/>
  <c r="B70" i="454"/>
  <c r="AM69" i="454"/>
  <c r="K79" i="449"/>
  <c r="L70" i="449"/>
  <c r="X34" i="445"/>
  <c r="W81" i="445"/>
  <c r="Z85" i="450"/>
  <c r="AA85" i="450" s="1"/>
  <c r="AB85" i="450" s="1"/>
  <c r="Y66" i="450"/>
  <c r="AB85" i="445"/>
  <c r="AA66" i="445"/>
  <c r="M79" i="448"/>
  <c r="N70" i="448"/>
  <c r="Z85" i="455"/>
  <c r="AA85" i="455" s="1"/>
  <c r="AB85" i="455" s="1"/>
  <c r="AC85" i="455" s="1"/>
  <c r="Y66" i="455"/>
  <c r="AA85" i="449"/>
  <c r="Z66" i="449"/>
  <c r="AD85" i="448"/>
  <c r="AC66" i="448"/>
  <c r="AC66" i="444"/>
  <c r="AD85" i="444"/>
  <c r="AA85" i="446"/>
  <c r="Z66" i="446"/>
  <c r="AB85" i="451"/>
  <c r="AA66" i="451"/>
  <c r="Q79" i="446"/>
  <c r="R70" i="446"/>
  <c r="F70" i="452"/>
  <c r="E79" i="452"/>
  <c r="S79" i="445"/>
  <c r="T70" i="445"/>
  <c r="J70" i="450"/>
  <c r="I79" i="450"/>
  <c r="AB85" i="453"/>
  <c r="AA66" i="453"/>
  <c r="O79" i="447"/>
  <c r="P70" i="447"/>
  <c r="AD85" i="447"/>
  <c r="AC66" i="447"/>
  <c r="AA85" i="454"/>
  <c r="Z66" i="454"/>
  <c r="Z85" i="452"/>
  <c r="Y66" i="452"/>
  <c r="Q70" i="447" l="1"/>
  <c r="P79" i="447"/>
  <c r="AB85" i="446"/>
  <c r="AA66" i="446"/>
  <c r="AM72" i="454"/>
  <c r="AL69" i="455"/>
  <c r="D79" i="453"/>
  <c r="E70" i="453"/>
  <c r="AB85" i="454"/>
  <c r="AA66" i="454"/>
  <c r="J79" i="450"/>
  <c r="K70" i="450"/>
  <c r="AE85" i="444"/>
  <c r="AD66" i="444"/>
  <c r="AE85" i="448"/>
  <c r="AF85" i="448" s="1"/>
  <c r="AD66" i="448"/>
  <c r="AG67" i="448" s="1"/>
  <c r="AG119" i="448" s="1"/>
  <c r="AD85" i="455"/>
  <c r="AC66" i="455"/>
  <c r="AC85" i="445"/>
  <c r="AB66" i="445"/>
  <c r="Y34" i="445"/>
  <c r="X81" i="445"/>
  <c r="B79" i="454"/>
  <c r="C70" i="454"/>
  <c r="H79" i="451"/>
  <c r="I70" i="451"/>
  <c r="F79" i="452"/>
  <c r="G70" i="452"/>
  <c r="AC85" i="451"/>
  <c r="AB66" i="451"/>
  <c r="N79" i="448"/>
  <c r="O70" i="448"/>
  <c r="L79" i="449"/>
  <c r="M70" i="449"/>
  <c r="AA85" i="452"/>
  <c r="AB85" i="452" s="1"/>
  <c r="AC85" i="452" s="1"/>
  <c r="Z66" i="452"/>
  <c r="AE85" i="447"/>
  <c r="AE66" i="447" s="1"/>
  <c r="AD66" i="447"/>
  <c r="AC85" i="453"/>
  <c r="AB66" i="453"/>
  <c r="U70" i="445"/>
  <c r="T79" i="445"/>
  <c r="R79" i="446"/>
  <c r="S70" i="446"/>
  <c r="AB85" i="449"/>
  <c r="AC85" i="449" s="1"/>
  <c r="AD85" i="449" s="1"/>
  <c r="AA66" i="449"/>
  <c r="AC85" i="450"/>
  <c r="AB66" i="450"/>
  <c r="S79" i="446" l="1"/>
  <c r="T70" i="446"/>
  <c r="O79" i="448"/>
  <c r="P70" i="448"/>
  <c r="G79" i="452"/>
  <c r="H70" i="452"/>
  <c r="C79" i="454"/>
  <c r="D70" i="454"/>
  <c r="K79" i="450"/>
  <c r="L70" i="450"/>
  <c r="E79" i="453"/>
  <c r="F70" i="453"/>
  <c r="AD85" i="450"/>
  <c r="AC66" i="450"/>
  <c r="AD85" i="453"/>
  <c r="AC66" i="453"/>
  <c r="AD85" i="452"/>
  <c r="AC66" i="452"/>
  <c r="AD85" i="445"/>
  <c r="AC66" i="445"/>
  <c r="AE67" i="445" s="1"/>
  <c r="AE119" i="445" s="1"/>
  <c r="AC85" i="446"/>
  <c r="AD85" i="446" s="1"/>
  <c r="AE85" i="446" s="1"/>
  <c r="AB66" i="446"/>
  <c r="M79" i="449"/>
  <c r="N70" i="449"/>
  <c r="I79" i="451"/>
  <c r="J70" i="451"/>
  <c r="AL72" i="455"/>
  <c r="B70" i="455"/>
  <c r="AN69" i="455"/>
  <c r="AN72" i="455" s="1"/>
  <c r="AE85" i="449"/>
  <c r="AE66" i="449" s="1"/>
  <c r="AD66" i="449"/>
  <c r="U79" i="445"/>
  <c r="V70" i="445"/>
  <c r="AF67" i="447"/>
  <c r="AF119" i="447" s="1"/>
  <c r="AD85" i="451"/>
  <c r="AE85" i="451" s="1"/>
  <c r="AF85" i="451" s="1"/>
  <c r="AF66" i="451" s="1"/>
  <c r="AC66" i="451"/>
  <c r="Y81" i="445"/>
  <c r="Z34" i="445"/>
  <c r="AE85" i="455"/>
  <c r="AD66" i="455"/>
  <c r="AF85" i="444"/>
  <c r="AF66" i="444" s="1"/>
  <c r="AE66" i="444"/>
  <c r="AC85" i="454"/>
  <c r="AD85" i="454" s="1"/>
  <c r="AE85" i="454" s="1"/>
  <c r="AE66" i="454" s="1"/>
  <c r="AB66" i="454"/>
  <c r="Q79" i="447"/>
  <c r="R70" i="447"/>
  <c r="AG67" i="451" l="1"/>
  <c r="AG119" i="451" s="1"/>
  <c r="AA34" i="445"/>
  <c r="Z81" i="445"/>
  <c r="AF67" i="449"/>
  <c r="AF119" i="449" s="1"/>
  <c r="J79" i="451"/>
  <c r="K70" i="451"/>
  <c r="F79" i="453"/>
  <c r="G70" i="453"/>
  <c r="D79" i="454"/>
  <c r="E70" i="454"/>
  <c r="Q70" i="448"/>
  <c r="P79" i="448"/>
  <c r="R79" i="447"/>
  <c r="S70" i="447"/>
  <c r="V79" i="445"/>
  <c r="W70" i="445"/>
  <c r="AF85" i="446"/>
  <c r="AF66" i="446" s="1"/>
  <c r="AG67" i="446" s="1"/>
  <c r="AG119" i="446" s="1"/>
  <c r="AE66" i="446"/>
  <c r="AE85" i="453"/>
  <c r="AD66" i="453"/>
  <c r="AG67" i="444"/>
  <c r="AG119" i="444" s="1"/>
  <c r="AF67" i="454"/>
  <c r="AF119" i="454" s="1"/>
  <c r="AF85" i="455"/>
  <c r="AF66" i="455" s="1"/>
  <c r="AG67" i="455" s="1"/>
  <c r="AG119" i="455" s="1"/>
  <c r="AE66" i="455"/>
  <c r="B79" i="455"/>
  <c r="C70" i="455"/>
  <c r="O70" i="449"/>
  <c r="N79" i="449"/>
  <c r="L79" i="450"/>
  <c r="M70" i="450"/>
  <c r="I70" i="452"/>
  <c r="H79" i="452"/>
  <c r="T79" i="446"/>
  <c r="U70" i="446"/>
  <c r="AE85" i="452"/>
  <c r="AE66" i="452" s="1"/>
  <c r="AF67" i="452" s="1"/>
  <c r="AF119" i="452" s="1"/>
  <c r="AD66" i="452"/>
  <c r="AE85" i="450"/>
  <c r="AD66" i="450"/>
  <c r="AF85" i="450" l="1"/>
  <c r="AF66" i="450" s="1"/>
  <c r="AG67" i="450" s="1"/>
  <c r="AG119" i="450" s="1"/>
  <c r="AE66" i="450"/>
  <c r="X70" i="445"/>
  <c r="W79" i="445"/>
  <c r="H70" i="453"/>
  <c r="G79" i="453"/>
  <c r="R70" i="448"/>
  <c r="Q79" i="448"/>
  <c r="I79" i="452"/>
  <c r="J70" i="452"/>
  <c r="O79" i="449"/>
  <c r="P70" i="449"/>
  <c r="AF85" i="453"/>
  <c r="AE66" i="453"/>
  <c r="AG67" i="453" s="1"/>
  <c r="AG119" i="453" s="1"/>
  <c r="U79" i="446"/>
  <c r="V70" i="446"/>
  <c r="N70" i="450"/>
  <c r="M79" i="450"/>
  <c r="D70" i="455"/>
  <c r="C79" i="455"/>
  <c r="S79" i="447"/>
  <c r="T70" i="447"/>
  <c r="E79" i="454"/>
  <c r="F70" i="454"/>
  <c r="L70" i="451"/>
  <c r="K79" i="451"/>
  <c r="AA81" i="445"/>
  <c r="AB34" i="445"/>
  <c r="M70" i="451" l="1"/>
  <c r="L79" i="451"/>
  <c r="N79" i="450"/>
  <c r="O70" i="450"/>
  <c r="R79" i="448"/>
  <c r="S70" i="448"/>
  <c r="X79" i="445"/>
  <c r="Y70" i="445"/>
  <c r="AB81" i="445"/>
  <c r="AC34" i="445"/>
  <c r="F79" i="454"/>
  <c r="G70" i="454"/>
  <c r="W70" i="446"/>
  <c r="V79" i="446"/>
  <c r="P79" i="449"/>
  <c r="Q70" i="449"/>
  <c r="I70" i="453"/>
  <c r="H79" i="453"/>
  <c r="E70" i="455"/>
  <c r="D79" i="455"/>
  <c r="T79" i="447"/>
  <c r="U70" i="447"/>
  <c r="J79" i="452"/>
  <c r="K70" i="452"/>
  <c r="M79" i="451" l="1"/>
  <c r="N70" i="451"/>
  <c r="S79" i="448"/>
  <c r="T70" i="448"/>
  <c r="I79" i="453"/>
  <c r="J70" i="453"/>
  <c r="W79" i="446"/>
  <c r="X70" i="446"/>
  <c r="K79" i="452"/>
  <c r="L70" i="452"/>
  <c r="R70" i="449"/>
  <c r="Q79" i="449"/>
  <c r="G79" i="454"/>
  <c r="H70" i="454"/>
  <c r="Y79" i="445"/>
  <c r="Z70" i="445"/>
  <c r="P70" i="450"/>
  <c r="O79" i="450"/>
  <c r="U79" i="447"/>
  <c r="V70" i="447"/>
  <c r="AC81" i="445"/>
  <c r="AD34" i="445"/>
  <c r="AH34" i="445" s="1"/>
  <c r="R16" i="15" s="1"/>
  <c r="E79" i="455"/>
  <c r="F70" i="455"/>
  <c r="R79" i="449" l="1"/>
  <c r="S70" i="449"/>
  <c r="AE34" i="445"/>
  <c r="B34" i="446" s="1"/>
  <c r="AD81" i="445"/>
  <c r="AG81" i="445" s="1"/>
  <c r="I70" i="454"/>
  <c r="H79" i="454"/>
  <c r="M70" i="452"/>
  <c r="L79" i="452"/>
  <c r="J79" i="453"/>
  <c r="K70" i="453"/>
  <c r="O70" i="451"/>
  <c r="N79" i="451"/>
  <c r="Q70" i="450"/>
  <c r="P79" i="450"/>
  <c r="G70" i="455"/>
  <c r="F79" i="455"/>
  <c r="V79" i="447"/>
  <c r="W70" i="447"/>
  <c r="AA70" i="445"/>
  <c r="Z79" i="445"/>
  <c r="Y70" i="446"/>
  <c r="X79" i="446"/>
  <c r="U70" i="448"/>
  <c r="T79" i="448"/>
  <c r="V70" i="448" l="1"/>
  <c r="U79" i="448"/>
  <c r="AA79" i="445"/>
  <c r="AB70" i="445"/>
  <c r="G79" i="455"/>
  <c r="H70" i="455"/>
  <c r="O79" i="451"/>
  <c r="P70" i="451"/>
  <c r="M79" i="452"/>
  <c r="N70" i="452"/>
  <c r="X70" i="447"/>
  <c r="W79" i="447"/>
  <c r="K79" i="453"/>
  <c r="L70" i="453"/>
  <c r="S79" i="449"/>
  <c r="T70" i="449"/>
  <c r="Y79" i="446"/>
  <c r="Z70" i="446"/>
  <c r="Q79" i="450"/>
  <c r="R70" i="450"/>
  <c r="J70" i="454"/>
  <c r="I79" i="454"/>
  <c r="AL81" i="445"/>
  <c r="AL81" i="446" s="1"/>
  <c r="Z16" i="15"/>
  <c r="C34" i="446"/>
  <c r="B81" i="446"/>
  <c r="S70" i="450" l="1"/>
  <c r="R79" i="450"/>
  <c r="T79" i="449"/>
  <c r="U70" i="449"/>
  <c r="P79" i="451"/>
  <c r="Q70" i="451"/>
  <c r="AB79" i="445"/>
  <c r="AC70" i="445"/>
  <c r="X79" i="447"/>
  <c r="Y70" i="447"/>
  <c r="Z79" i="446"/>
  <c r="AA70" i="446"/>
  <c r="M70" i="453"/>
  <c r="L79" i="453"/>
  <c r="N79" i="452"/>
  <c r="O70" i="452"/>
  <c r="H79" i="455"/>
  <c r="I70" i="455"/>
  <c r="D34" i="446"/>
  <c r="C81" i="446"/>
  <c r="J79" i="454"/>
  <c r="K70" i="454"/>
  <c r="V79" i="448"/>
  <c r="W70" i="448"/>
  <c r="O79" i="452" l="1"/>
  <c r="P70" i="452"/>
  <c r="AA79" i="446"/>
  <c r="AB70" i="446"/>
  <c r="AC79" i="445"/>
  <c r="AD70" i="445"/>
  <c r="AD79" i="445" s="1"/>
  <c r="AG79" i="445" s="1"/>
  <c r="V70" i="449"/>
  <c r="U79" i="449"/>
  <c r="M79" i="453"/>
  <c r="N70" i="453"/>
  <c r="T70" i="450"/>
  <c r="S79" i="450"/>
  <c r="X70" i="448"/>
  <c r="W79" i="448"/>
  <c r="E34" i="446"/>
  <c r="D81" i="446"/>
  <c r="K79" i="454"/>
  <c r="L70" i="454"/>
  <c r="I79" i="455"/>
  <c r="J70" i="455"/>
  <c r="Y79" i="447"/>
  <c r="Z70" i="447"/>
  <c r="R70" i="451"/>
  <c r="Q79" i="451"/>
  <c r="F34" i="446" l="1"/>
  <c r="E81" i="446"/>
  <c r="U70" i="450"/>
  <c r="T79" i="450"/>
  <c r="V79" i="449"/>
  <c r="W70" i="449"/>
  <c r="K70" i="455"/>
  <c r="J79" i="455"/>
  <c r="S70" i="451"/>
  <c r="R79" i="451"/>
  <c r="AA70" i="447"/>
  <c r="Z79" i="447"/>
  <c r="L79" i="454"/>
  <c r="M70" i="454"/>
  <c r="N79" i="453"/>
  <c r="O70" i="453"/>
  <c r="AL79" i="445"/>
  <c r="V16" i="15"/>
  <c r="P79" i="452"/>
  <c r="Q70" i="452"/>
  <c r="Y70" i="448"/>
  <c r="X79" i="448"/>
  <c r="AB79" i="446"/>
  <c r="AC70" i="446"/>
  <c r="W79" i="449" l="1"/>
  <c r="X70" i="449"/>
  <c r="AC79" i="446"/>
  <c r="AD70" i="446"/>
  <c r="AA79" i="447"/>
  <c r="AB70" i="447"/>
  <c r="K79" i="455"/>
  <c r="L70" i="455"/>
  <c r="V70" i="450"/>
  <c r="U79" i="450"/>
  <c r="AL79" i="446"/>
  <c r="X16" i="15"/>
  <c r="AM79" i="445" s="1"/>
  <c r="S79" i="451"/>
  <c r="T70" i="451"/>
  <c r="G34" i="446"/>
  <c r="F81" i="446"/>
  <c r="N70" i="454"/>
  <c r="M79" i="454"/>
  <c r="Y79" i="448"/>
  <c r="Z70" i="448"/>
  <c r="Q79" i="452"/>
  <c r="R70" i="452"/>
  <c r="O79" i="453"/>
  <c r="P70" i="453"/>
  <c r="H34" i="446" l="1"/>
  <c r="G81" i="446"/>
  <c r="N79" i="454"/>
  <c r="O70" i="454"/>
  <c r="U70" i="451"/>
  <c r="T79" i="451"/>
  <c r="AB79" i="447"/>
  <c r="AC70" i="447"/>
  <c r="X79" i="449"/>
  <c r="Y70" i="449"/>
  <c r="V79" i="450"/>
  <c r="W70" i="450"/>
  <c r="M70" i="455"/>
  <c r="L79" i="455"/>
  <c r="AD79" i="446"/>
  <c r="AE70" i="446"/>
  <c r="Q70" i="453"/>
  <c r="P79" i="453"/>
  <c r="AA70" i="448"/>
  <c r="Z79" i="448"/>
  <c r="R79" i="452"/>
  <c r="S70" i="452"/>
  <c r="T70" i="452" l="1"/>
  <c r="S79" i="452"/>
  <c r="Q79" i="453"/>
  <c r="R70" i="453"/>
  <c r="Z70" i="449"/>
  <c r="Y79" i="449"/>
  <c r="X70" i="450"/>
  <c r="W79" i="450"/>
  <c r="AA79" i="448"/>
  <c r="AB70" i="448"/>
  <c r="AD70" i="447"/>
  <c r="AC79" i="447"/>
  <c r="P70" i="454"/>
  <c r="O79" i="454"/>
  <c r="M79" i="455"/>
  <c r="N70" i="455"/>
  <c r="AF70" i="446"/>
  <c r="AF79" i="446" s="1"/>
  <c r="AI79" i="446" s="1"/>
  <c r="AE79" i="446"/>
  <c r="V70" i="451"/>
  <c r="U79" i="451"/>
  <c r="I34" i="446"/>
  <c r="H81" i="446"/>
  <c r="J34" i="446" l="1"/>
  <c r="I81" i="446"/>
  <c r="N79" i="455"/>
  <c r="O70" i="455"/>
  <c r="S70" i="453"/>
  <c r="R79" i="453"/>
  <c r="V79" i="451"/>
  <c r="W70" i="451"/>
  <c r="AE70" i="447"/>
  <c r="AE79" i="447" s="1"/>
  <c r="AD79" i="447"/>
  <c r="Y70" i="450"/>
  <c r="X79" i="450"/>
  <c r="AB79" i="448"/>
  <c r="AC70" i="448"/>
  <c r="AN79" i="446"/>
  <c r="V17" i="15"/>
  <c r="Q70" i="454"/>
  <c r="P79" i="454"/>
  <c r="Z79" i="449"/>
  <c r="AA70" i="449"/>
  <c r="T79" i="452"/>
  <c r="U70" i="452"/>
  <c r="U79" i="452" l="1"/>
  <c r="V70" i="452"/>
  <c r="AK79" i="447"/>
  <c r="X17" i="15"/>
  <c r="AO79" i="446" s="1"/>
  <c r="Z70" i="450"/>
  <c r="Y79" i="450"/>
  <c r="AC79" i="448"/>
  <c r="AD70" i="448"/>
  <c r="Q79" i="454"/>
  <c r="R70" i="454"/>
  <c r="AH79" i="447"/>
  <c r="S79" i="453"/>
  <c r="T70" i="453"/>
  <c r="AB70" i="449"/>
  <c r="AA79" i="449"/>
  <c r="X70" i="451"/>
  <c r="W79" i="451"/>
  <c r="O79" i="455"/>
  <c r="P70" i="455"/>
  <c r="K34" i="446"/>
  <c r="J81" i="446"/>
  <c r="U70" i="453" l="1"/>
  <c r="T79" i="453"/>
  <c r="AA70" i="450"/>
  <c r="Z79" i="450"/>
  <c r="L34" i="446"/>
  <c r="K81" i="446"/>
  <c r="Y70" i="451"/>
  <c r="X79" i="451"/>
  <c r="AE70" i="448"/>
  <c r="AD79" i="448"/>
  <c r="W70" i="452"/>
  <c r="V79" i="452"/>
  <c r="AB79" i="449"/>
  <c r="AC70" i="449"/>
  <c r="R79" i="454"/>
  <c r="S70" i="454"/>
  <c r="Q70" i="455"/>
  <c r="P79" i="455"/>
  <c r="AM79" i="447"/>
  <c r="V18" i="15"/>
  <c r="S79" i="454" l="1"/>
  <c r="T70" i="454"/>
  <c r="Q79" i="455"/>
  <c r="R70" i="455"/>
  <c r="AL79" i="448"/>
  <c r="X18" i="15"/>
  <c r="AN79" i="447" s="1"/>
  <c r="W79" i="452"/>
  <c r="X70" i="452"/>
  <c r="Z70" i="451"/>
  <c r="Y79" i="451"/>
  <c r="AB70" i="450"/>
  <c r="AA79" i="450"/>
  <c r="AC79" i="449"/>
  <c r="AD70" i="449"/>
  <c r="AF70" i="448"/>
  <c r="AF79" i="448" s="1"/>
  <c r="AI79" i="448" s="1"/>
  <c r="AE79" i="448"/>
  <c r="L81" i="446"/>
  <c r="M34" i="446"/>
  <c r="V70" i="453"/>
  <c r="U79" i="453"/>
  <c r="M81" i="446" l="1"/>
  <c r="N34" i="446"/>
  <c r="AD79" i="449"/>
  <c r="AE70" i="449"/>
  <c r="AE79" i="449" s="1"/>
  <c r="AH79" i="449" s="1"/>
  <c r="T79" i="454"/>
  <c r="U70" i="454"/>
  <c r="V79" i="453"/>
  <c r="W70" i="453"/>
  <c r="Z79" i="451"/>
  <c r="AA70" i="451"/>
  <c r="Y70" i="452"/>
  <c r="X79" i="452"/>
  <c r="R79" i="455"/>
  <c r="S70" i="455"/>
  <c r="AN79" i="448"/>
  <c r="V19" i="15"/>
  <c r="AB79" i="450"/>
  <c r="AC70" i="450"/>
  <c r="W79" i="453" l="1"/>
  <c r="X70" i="453"/>
  <c r="V20" i="15"/>
  <c r="V31" i="15" s="1"/>
  <c r="AK79" i="449"/>
  <c r="AM79" i="449" s="1"/>
  <c r="X19" i="15"/>
  <c r="AO79" i="448" s="1"/>
  <c r="Z70" i="452"/>
  <c r="Y79" i="452"/>
  <c r="AC79" i="450"/>
  <c r="AD70" i="450"/>
  <c r="S79" i="455"/>
  <c r="T70" i="455"/>
  <c r="AB70" i="451"/>
  <c r="AA79" i="451"/>
  <c r="U79" i="454"/>
  <c r="V70" i="454"/>
  <c r="N81" i="446"/>
  <c r="O34" i="446"/>
  <c r="AL79" i="450" l="1"/>
  <c r="X20" i="15"/>
  <c r="P34" i="446"/>
  <c r="O81" i="446"/>
  <c r="AE70" i="450"/>
  <c r="AD79" i="450"/>
  <c r="X79" i="453"/>
  <c r="Y70" i="453"/>
  <c r="AB79" i="451"/>
  <c r="AC70" i="451"/>
  <c r="V79" i="454"/>
  <c r="W70" i="454"/>
  <c r="T79" i="455"/>
  <c r="U70" i="455"/>
  <c r="AA70" i="452"/>
  <c r="Z79" i="452"/>
  <c r="W79" i="454" l="1"/>
  <c r="X70" i="454"/>
  <c r="Z70" i="453"/>
  <c r="Y79" i="453"/>
  <c r="Q34" i="446"/>
  <c r="P81" i="446"/>
  <c r="AA79" i="452"/>
  <c r="AB70" i="452"/>
  <c r="U79" i="455"/>
  <c r="V70" i="455"/>
  <c r="AC79" i="451"/>
  <c r="AD70" i="451"/>
  <c r="AN79" i="449"/>
  <c r="X31" i="15"/>
  <c r="AE79" i="450"/>
  <c r="AF70" i="450"/>
  <c r="AF79" i="450" s="1"/>
  <c r="AI79" i="450" s="1"/>
  <c r="AB79" i="452" l="1"/>
  <c r="AC70" i="452"/>
  <c r="AE70" i="451"/>
  <c r="AD79" i="451"/>
  <c r="Z79" i="453"/>
  <c r="AA70" i="453"/>
  <c r="AN79" i="450"/>
  <c r="V21" i="15"/>
  <c r="W70" i="455"/>
  <c r="V79" i="455"/>
  <c r="X79" i="454"/>
  <c r="Y70" i="454"/>
  <c r="Q81" i="446"/>
  <c r="R34" i="446"/>
  <c r="Y79" i="454" l="1"/>
  <c r="Z70" i="454"/>
  <c r="AL79" i="451"/>
  <c r="X21" i="15"/>
  <c r="AO79" i="450" s="1"/>
  <c r="AF70" i="451"/>
  <c r="AF79" i="451" s="1"/>
  <c r="AI79" i="451" s="1"/>
  <c r="AE79" i="451"/>
  <c r="S34" i="446"/>
  <c r="R81" i="446"/>
  <c r="AA79" i="453"/>
  <c r="AB70" i="453"/>
  <c r="AD70" i="452"/>
  <c r="AC79" i="452"/>
  <c r="X70" i="455"/>
  <c r="W79" i="455"/>
  <c r="AE70" i="452" l="1"/>
  <c r="AE79" i="452" s="1"/>
  <c r="AH79" i="452" s="1"/>
  <c r="AD79" i="452"/>
  <c r="AB79" i="453"/>
  <c r="AC70" i="453"/>
  <c r="T34" i="446"/>
  <c r="S81" i="446"/>
  <c r="Y70" i="455"/>
  <c r="X79" i="455"/>
  <c r="AN79" i="451"/>
  <c r="V22" i="15"/>
  <c r="AA70" i="454"/>
  <c r="Z79" i="454"/>
  <c r="AK79" i="452" l="1"/>
  <c r="AM79" i="452" s="1"/>
  <c r="X22" i="15"/>
  <c r="AO79" i="451" s="1"/>
  <c r="AC79" i="453"/>
  <c r="AD70" i="453"/>
  <c r="AB70" i="454"/>
  <c r="AA79" i="454"/>
  <c r="Z70" i="455"/>
  <c r="Y79" i="455"/>
  <c r="U34" i="446"/>
  <c r="T81" i="446"/>
  <c r="V23" i="15"/>
  <c r="Z79" i="455" l="1"/>
  <c r="AA70" i="455"/>
  <c r="V34" i="446"/>
  <c r="U81" i="446"/>
  <c r="AB79" i="454"/>
  <c r="AC70" i="454"/>
  <c r="AL79" i="453"/>
  <c r="X23" i="15"/>
  <c r="AN79" i="452" s="1"/>
  <c r="AD79" i="453"/>
  <c r="AE70" i="453"/>
  <c r="W34" i="446" l="1"/>
  <c r="V81" i="446"/>
  <c r="AF70" i="453"/>
  <c r="AF79" i="453" s="1"/>
  <c r="AI79" i="453" s="1"/>
  <c r="AE79" i="453"/>
  <c r="AD70" i="454"/>
  <c r="AC79" i="454"/>
  <c r="AA79" i="455"/>
  <c r="AB70" i="455"/>
  <c r="AE70" i="454" l="1"/>
  <c r="AE79" i="454" s="1"/>
  <c r="AH79" i="454" s="1"/>
  <c r="AD79" i="454"/>
  <c r="AB79" i="455"/>
  <c r="AC70" i="455"/>
  <c r="AN79" i="453"/>
  <c r="V24" i="15"/>
  <c r="X34" i="446"/>
  <c r="W81" i="446"/>
  <c r="AD70" i="455" l="1"/>
  <c r="AC79" i="455"/>
  <c r="Y34" i="446"/>
  <c r="X81" i="446"/>
  <c r="AK79" i="454"/>
  <c r="AM79" i="454" s="1"/>
  <c r="X24" i="15"/>
  <c r="AO79" i="453" s="1"/>
  <c r="V25" i="15"/>
  <c r="AL79" i="455" l="1"/>
  <c r="X25" i="15"/>
  <c r="AN79" i="454" s="1"/>
  <c r="Y81" i="446"/>
  <c r="Z34" i="446"/>
  <c r="AE70" i="455"/>
  <c r="AD79" i="455"/>
  <c r="AE79" i="455" l="1"/>
  <c r="AF70" i="455"/>
  <c r="AF79" i="455" s="1"/>
  <c r="AI79" i="455" s="1"/>
  <c r="AA34" i="446"/>
  <c r="Z81" i="446"/>
  <c r="AA81" i="446" l="1"/>
  <c r="AB34" i="446"/>
  <c r="AN79" i="455"/>
  <c r="X26" i="15" s="1"/>
  <c r="V26" i="15"/>
  <c r="V27" i="15" l="1"/>
  <c r="V32" i="15"/>
  <c r="AO79" i="455"/>
  <c r="X27" i="15"/>
  <c r="X32" i="15"/>
  <c r="AC34" i="446"/>
  <c r="AB81" i="446"/>
  <c r="AP79" i="455" l="1"/>
  <c r="AP79" i="451"/>
  <c r="AO79" i="447"/>
  <c r="AO79" i="454"/>
  <c r="AO79" i="449"/>
  <c r="AP79" i="446"/>
  <c r="AP79" i="453"/>
  <c r="AP79" i="450"/>
  <c r="AN79" i="445"/>
  <c r="X29" i="15"/>
  <c r="AO79" i="452"/>
  <c r="AP79" i="448"/>
  <c r="AP79" i="444"/>
  <c r="AC81" i="446"/>
  <c r="AD34" i="446"/>
  <c r="AD81" i="446" l="1"/>
  <c r="AE34" i="446"/>
  <c r="AF34" i="446" l="1"/>
  <c r="AJ34" i="446" s="1"/>
  <c r="R17" i="15" s="1"/>
  <c r="AE81" i="446"/>
  <c r="AG34" i="446" l="1"/>
  <c r="B34" i="447" s="1"/>
  <c r="AF81" i="446"/>
  <c r="AI81" i="446" s="1"/>
  <c r="AN81" i="446" l="1"/>
  <c r="AK81" i="447" s="1"/>
  <c r="Z17" i="15"/>
  <c r="C34" i="447"/>
  <c r="B81" i="447"/>
  <c r="D34" i="447" l="1"/>
  <c r="C81" i="447"/>
  <c r="E34" i="447" l="1"/>
  <c r="D81" i="447"/>
  <c r="F34" i="447" l="1"/>
  <c r="E81" i="447"/>
  <c r="G34" i="447" l="1"/>
  <c r="F81" i="447"/>
  <c r="H34" i="447" l="1"/>
  <c r="G81" i="447"/>
  <c r="I34" i="447" l="1"/>
  <c r="H81" i="447"/>
  <c r="J34" i="447" l="1"/>
  <c r="I81" i="447"/>
  <c r="K34" i="447" l="1"/>
  <c r="J81" i="447"/>
  <c r="L34" i="447" l="1"/>
  <c r="K81" i="447"/>
  <c r="M34" i="447" l="1"/>
  <c r="L81" i="447"/>
  <c r="N34" i="447" l="1"/>
  <c r="M81" i="447"/>
  <c r="O34" i="447" l="1"/>
  <c r="N81" i="447"/>
  <c r="P34" i="447" l="1"/>
  <c r="O81" i="447"/>
  <c r="P81" i="447" l="1"/>
  <c r="Q34" i="447"/>
  <c r="Q81" i="447" l="1"/>
  <c r="R34" i="447"/>
  <c r="S34" i="447" l="1"/>
  <c r="R81" i="447"/>
  <c r="T34" i="447" l="1"/>
  <c r="S81" i="447"/>
  <c r="T81" i="447" l="1"/>
  <c r="U34" i="447"/>
  <c r="U81" i="447" l="1"/>
  <c r="V34" i="447"/>
  <c r="W34" i="447" l="1"/>
  <c r="V81" i="447"/>
  <c r="W81" i="447" l="1"/>
  <c r="X34" i="447"/>
  <c r="X81" i="447" l="1"/>
  <c r="Y34" i="447"/>
  <c r="Z34" i="447" l="1"/>
  <c r="Y81" i="447"/>
  <c r="Z81" i="447" l="1"/>
  <c r="AA34" i="447"/>
  <c r="AA81" i="447" l="1"/>
  <c r="AB34" i="447"/>
  <c r="AB81" i="447" l="1"/>
  <c r="AC34" i="447"/>
  <c r="AC81" i="447" l="1"/>
  <c r="AD34" i="447"/>
  <c r="AE34" i="447" l="1"/>
  <c r="AD81" i="447"/>
  <c r="AF34" i="447" l="1"/>
  <c r="B34" i="448" s="1"/>
  <c r="AE81" i="447"/>
  <c r="AH81" i="447" s="1"/>
  <c r="AI34" i="447"/>
  <c r="R18" i="15" s="1"/>
  <c r="AM81" i="447" l="1"/>
  <c r="AL81" i="448" s="1"/>
  <c r="Z18" i="15"/>
  <c r="C34" i="448"/>
  <c r="B81" i="448"/>
  <c r="D34" i="448" l="1"/>
  <c r="C81" i="448"/>
  <c r="E34" i="448" l="1"/>
  <c r="D81" i="448"/>
  <c r="F34" i="448" l="1"/>
  <c r="E81" i="448"/>
  <c r="G34" i="448" l="1"/>
  <c r="F81" i="448"/>
  <c r="H34" i="448" l="1"/>
  <c r="G81" i="448"/>
  <c r="I34" i="448" l="1"/>
  <c r="H81" i="448"/>
  <c r="J34" i="448" l="1"/>
  <c r="I81" i="448"/>
  <c r="K34" i="448" l="1"/>
  <c r="J81" i="448"/>
  <c r="L34" i="448" l="1"/>
  <c r="K81" i="448"/>
  <c r="M34" i="448" l="1"/>
  <c r="L81" i="448"/>
  <c r="M81" i="448" l="1"/>
  <c r="N34" i="448"/>
  <c r="O34" i="448" l="1"/>
  <c r="N81" i="448"/>
  <c r="P34" i="448" l="1"/>
  <c r="O81" i="448"/>
  <c r="Q34" i="448" l="1"/>
  <c r="P81" i="448"/>
  <c r="Q81" i="448" l="1"/>
  <c r="R34" i="448"/>
  <c r="S34" i="448" l="1"/>
  <c r="R81" i="448"/>
  <c r="S81" i="448" l="1"/>
  <c r="T34" i="448"/>
  <c r="T81" i="448" l="1"/>
  <c r="U34" i="448"/>
  <c r="U81" i="448" l="1"/>
  <c r="V34" i="448"/>
  <c r="V81" i="448" l="1"/>
  <c r="W34" i="448"/>
  <c r="W81" i="448" l="1"/>
  <c r="X34" i="448"/>
  <c r="X81" i="448" l="1"/>
  <c r="Y34" i="448"/>
  <c r="Y81" i="448" l="1"/>
  <c r="Z34" i="448"/>
  <c r="Z81" i="448" l="1"/>
  <c r="AA34" i="448"/>
  <c r="AB34" i="448" l="1"/>
  <c r="AA81" i="448"/>
  <c r="AB81" i="448" l="1"/>
  <c r="AC34" i="448"/>
  <c r="AD34" i="448" l="1"/>
  <c r="AC81" i="448"/>
  <c r="AE34" i="448" l="1"/>
  <c r="AD81" i="448"/>
  <c r="AF34" i="448" l="1"/>
  <c r="AE81" i="448"/>
  <c r="AG34" i="448" l="1"/>
  <c r="B34" i="449" s="1"/>
  <c r="AF81" i="448"/>
  <c r="AI81" i="448" s="1"/>
  <c r="AJ34" i="448"/>
  <c r="R19" i="15" s="1"/>
  <c r="AN81" i="448" l="1"/>
  <c r="AK81" i="449" s="1"/>
  <c r="Z19" i="15"/>
  <c r="C34" i="449"/>
  <c r="B81" i="449"/>
  <c r="D34" i="449" l="1"/>
  <c r="C81" i="449"/>
  <c r="E34" i="449" l="1"/>
  <c r="D81" i="449"/>
  <c r="F34" i="449" l="1"/>
  <c r="E81" i="449"/>
  <c r="G34" i="449" l="1"/>
  <c r="F81" i="449"/>
  <c r="H34" i="449" l="1"/>
  <c r="G81" i="449"/>
  <c r="I34" i="449" l="1"/>
  <c r="H81" i="449"/>
  <c r="J34" i="449" l="1"/>
  <c r="I81" i="449"/>
  <c r="K34" i="449" l="1"/>
  <c r="J81" i="449"/>
  <c r="K81" i="449" l="1"/>
  <c r="L34" i="449"/>
  <c r="M34" i="449" l="1"/>
  <c r="L81" i="449"/>
  <c r="N34" i="449" l="1"/>
  <c r="M81" i="449"/>
  <c r="O34" i="449" l="1"/>
  <c r="N81" i="449"/>
  <c r="O81" i="449" l="1"/>
  <c r="P34" i="449"/>
  <c r="P81" i="449" l="1"/>
  <c r="Q34" i="449"/>
  <c r="R34" i="449" l="1"/>
  <c r="Q81" i="449"/>
  <c r="R81" i="449" l="1"/>
  <c r="S34" i="449"/>
  <c r="S81" i="449" l="1"/>
  <c r="T34" i="449"/>
  <c r="U34" i="449" l="1"/>
  <c r="T81" i="449"/>
  <c r="U81" i="449" l="1"/>
  <c r="V34" i="449"/>
  <c r="V81" i="449" l="1"/>
  <c r="W34" i="449"/>
  <c r="X34" i="449" l="1"/>
  <c r="W81" i="449"/>
  <c r="Y34" i="449" l="1"/>
  <c r="X81" i="449"/>
  <c r="Y81" i="449" l="1"/>
  <c r="Z34" i="449"/>
  <c r="AA34" i="449" l="1"/>
  <c r="Z81" i="449"/>
  <c r="AB34" i="449" l="1"/>
  <c r="AA81" i="449"/>
  <c r="AB81" i="449" l="1"/>
  <c r="AC34" i="449"/>
  <c r="AC81" i="449" l="1"/>
  <c r="AD34" i="449"/>
  <c r="AD81" i="449" l="1"/>
  <c r="AE34" i="449"/>
  <c r="AF34" i="449" l="1"/>
  <c r="B34" i="450" s="1"/>
  <c r="AE81" i="449"/>
  <c r="AH81" i="449" s="1"/>
  <c r="AI34" i="449"/>
  <c r="R20" i="15" s="1"/>
  <c r="R31" i="15" l="1"/>
  <c r="AM81" i="449"/>
  <c r="AL81" i="450" s="1"/>
  <c r="Z20" i="15"/>
  <c r="Z31" i="15" s="1"/>
  <c r="C34" i="450"/>
  <c r="B81" i="450"/>
  <c r="D34" i="450" l="1"/>
  <c r="C81" i="450"/>
  <c r="E34" i="450" l="1"/>
  <c r="D81" i="450"/>
  <c r="F34" i="450" l="1"/>
  <c r="E81" i="450"/>
  <c r="G34" i="450" l="1"/>
  <c r="F81" i="450"/>
  <c r="H34" i="450" l="1"/>
  <c r="G81" i="450"/>
  <c r="I34" i="450" l="1"/>
  <c r="H81" i="450"/>
  <c r="J34" i="450" l="1"/>
  <c r="I81" i="450"/>
  <c r="K34" i="450" l="1"/>
  <c r="J81" i="450"/>
  <c r="L34" i="450" l="1"/>
  <c r="K81" i="450"/>
  <c r="M34" i="450" l="1"/>
  <c r="L81" i="450"/>
  <c r="M81" i="450" l="1"/>
  <c r="N34" i="450"/>
  <c r="O34" i="450" l="1"/>
  <c r="N81" i="450"/>
  <c r="P34" i="450" l="1"/>
  <c r="O81" i="450"/>
  <c r="Q34" i="450" l="1"/>
  <c r="P81" i="450"/>
  <c r="R34" i="450" l="1"/>
  <c r="Q81" i="450"/>
  <c r="S34" i="450" l="1"/>
  <c r="R81" i="450"/>
  <c r="S81" i="450" l="1"/>
  <c r="T34" i="450"/>
  <c r="U34" i="450" l="1"/>
  <c r="T81" i="450"/>
  <c r="U81" i="450" l="1"/>
  <c r="V34" i="450"/>
  <c r="W34" i="450" l="1"/>
  <c r="V81" i="450"/>
  <c r="W81" i="450" l="1"/>
  <c r="X34" i="450"/>
  <c r="X81" i="450" l="1"/>
  <c r="Y34" i="450"/>
  <c r="Y81" i="450" l="1"/>
  <c r="Z34" i="450"/>
  <c r="Z81" i="450" l="1"/>
  <c r="AA34" i="450"/>
  <c r="AA81" i="450" l="1"/>
  <c r="AB34" i="450"/>
  <c r="AC34" i="450" l="1"/>
  <c r="AB81" i="450"/>
  <c r="AC81" i="450" l="1"/>
  <c r="AD34" i="450"/>
  <c r="AE34" i="450" l="1"/>
  <c r="AD81" i="450"/>
  <c r="AF34" i="450" l="1"/>
  <c r="AE81" i="450"/>
  <c r="AG34" i="450" l="1"/>
  <c r="B34" i="451" s="1"/>
  <c r="AF81" i="450"/>
  <c r="AI81" i="450" s="1"/>
  <c r="AJ34" i="450"/>
  <c r="R21" i="15" s="1"/>
  <c r="AN81" i="450" l="1"/>
  <c r="AL81" i="451" s="1"/>
  <c r="Z21" i="15"/>
  <c r="C34" i="451"/>
  <c r="B81" i="451"/>
  <c r="D34" i="451" l="1"/>
  <c r="C81" i="451"/>
  <c r="E34" i="451" l="1"/>
  <c r="D81" i="451"/>
  <c r="F34" i="451" l="1"/>
  <c r="E81" i="451"/>
  <c r="G34" i="451" l="1"/>
  <c r="F81" i="451"/>
  <c r="H34" i="451" l="1"/>
  <c r="G81" i="451"/>
  <c r="I34" i="451" l="1"/>
  <c r="H81" i="451"/>
  <c r="J34" i="451" l="1"/>
  <c r="I81" i="451"/>
  <c r="K34" i="451" l="1"/>
  <c r="J81" i="451"/>
  <c r="L34" i="451" l="1"/>
  <c r="K81" i="451"/>
  <c r="L81" i="451" l="1"/>
  <c r="M34" i="451"/>
  <c r="N34" i="451" l="1"/>
  <c r="M81" i="451"/>
  <c r="N81" i="451" l="1"/>
  <c r="O34" i="451"/>
  <c r="P34" i="451" l="1"/>
  <c r="O81" i="451"/>
  <c r="Q34" i="451" l="1"/>
  <c r="P81" i="451"/>
  <c r="R34" i="451" l="1"/>
  <c r="Q81" i="451"/>
  <c r="S34" i="451" l="1"/>
  <c r="R81" i="451"/>
  <c r="T34" i="451" l="1"/>
  <c r="S81" i="451"/>
  <c r="U34" i="451" l="1"/>
  <c r="T81" i="451"/>
  <c r="U81" i="451" l="1"/>
  <c r="V34" i="451"/>
  <c r="W34" i="451" l="1"/>
  <c r="V81" i="451"/>
  <c r="W81" i="451" l="1"/>
  <c r="X34" i="451"/>
  <c r="X81" i="451" l="1"/>
  <c r="Y34" i="451"/>
  <c r="Z34" i="451" l="1"/>
  <c r="Y81" i="451"/>
  <c r="Z81" i="451" l="1"/>
  <c r="AA34" i="451"/>
  <c r="AA81" i="451" l="1"/>
  <c r="AB34" i="451"/>
  <c r="AC34" i="451" l="1"/>
  <c r="AB81" i="451"/>
  <c r="AD34" i="451" l="1"/>
  <c r="AC81" i="451"/>
  <c r="AD81" i="451" l="1"/>
  <c r="AE34" i="451"/>
  <c r="AF34" i="451" l="1"/>
  <c r="AJ34" i="451" s="1"/>
  <c r="R22" i="15" s="1"/>
  <c r="AE81" i="451"/>
  <c r="AG34" i="451" l="1"/>
  <c r="B34" i="452" s="1"/>
  <c r="AF81" i="451"/>
  <c r="AI81" i="451" s="1"/>
  <c r="AN81" i="451" l="1"/>
  <c r="AK81" i="452" s="1"/>
  <c r="Z22" i="15"/>
  <c r="C34" i="452"/>
  <c r="B81" i="452"/>
  <c r="D34" i="452" l="1"/>
  <c r="C81" i="452"/>
  <c r="E34" i="452" l="1"/>
  <c r="D81" i="452"/>
  <c r="F34" i="452" l="1"/>
  <c r="E81" i="452"/>
  <c r="G34" i="452" l="1"/>
  <c r="F81" i="452"/>
  <c r="H34" i="452" l="1"/>
  <c r="G81" i="452"/>
  <c r="I34" i="452" l="1"/>
  <c r="H81" i="452"/>
  <c r="J34" i="452" l="1"/>
  <c r="I81" i="452"/>
  <c r="K34" i="452" l="1"/>
  <c r="J81" i="452"/>
  <c r="L34" i="452" l="1"/>
  <c r="K81" i="452"/>
  <c r="M34" i="452" l="1"/>
  <c r="L81" i="452"/>
  <c r="N34" i="452" l="1"/>
  <c r="M81" i="452"/>
  <c r="O34" i="452" l="1"/>
  <c r="N81" i="452"/>
  <c r="O81" i="452" l="1"/>
  <c r="P34" i="452"/>
  <c r="P81" i="452" l="1"/>
  <c r="Q34" i="452"/>
  <c r="R34" i="452" l="1"/>
  <c r="Q81" i="452"/>
  <c r="S34" i="452" l="1"/>
  <c r="R81" i="452"/>
  <c r="S81" i="452" l="1"/>
  <c r="T34" i="452"/>
  <c r="U34" i="452" l="1"/>
  <c r="T81" i="452"/>
  <c r="U81" i="452" l="1"/>
  <c r="V34" i="452"/>
  <c r="V81" i="452" l="1"/>
  <c r="W34" i="452"/>
  <c r="W81" i="452" l="1"/>
  <c r="X34" i="452"/>
  <c r="Y34" i="452" l="1"/>
  <c r="X81" i="452"/>
  <c r="Z34" i="452" l="1"/>
  <c r="Y81" i="452"/>
  <c r="Z81" i="452" l="1"/>
  <c r="AA34" i="452"/>
  <c r="AB34" i="452" l="1"/>
  <c r="AA81" i="452"/>
  <c r="AC34" i="452" l="1"/>
  <c r="AB81" i="452"/>
  <c r="AD34" i="452" l="1"/>
  <c r="AC81" i="452"/>
  <c r="AE34" i="452" l="1"/>
  <c r="AD81" i="452"/>
  <c r="AF34" i="452" l="1"/>
  <c r="B34" i="453" s="1"/>
  <c r="AE81" i="452"/>
  <c r="AH81" i="452" s="1"/>
  <c r="AI34" i="452"/>
  <c r="R23" i="15" s="1"/>
  <c r="AM81" i="452" l="1"/>
  <c r="AL81" i="453" s="1"/>
  <c r="Z23" i="15"/>
  <c r="C34" i="453"/>
  <c r="B81" i="453"/>
  <c r="D34" i="453" l="1"/>
  <c r="C81" i="453"/>
  <c r="E34" i="453" l="1"/>
  <c r="D81" i="453"/>
  <c r="F34" i="453" l="1"/>
  <c r="E81" i="453"/>
  <c r="G34" i="453" l="1"/>
  <c r="F81" i="453"/>
  <c r="H34" i="453" l="1"/>
  <c r="G81" i="453"/>
  <c r="I34" i="453" l="1"/>
  <c r="H81" i="453"/>
  <c r="J34" i="453" l="1"/>
  <c r="I81" i="453"/>
  <c r="K34" i="453" l="1"/>
  <c r="J81" i="453"/>
  <c r="L34" i="453" l="1"/>
  <c r="K81" i="453"/>
  <c r="L81" i="453" l="1"/>
  <c r="M34" i="453"/>
  <c r="M81" i="453" l="1"/>
  <c r="N34" i="453"/>
  <c r="N81" i="453" l="1"/>
  <c r="O34" i="453"/>
  <c r="P34" i="453" l="1"/>
  <c r="O81" i="453"/>
  <c r="Q34" i="453" l="1"/>
  <c r="P81" i="453"/>
  <c r="R34" i="453" l="1"/>
  <c r="Q81" i="453"/>
  <c r="R81" i="453" l="1"/>
  <c r="S34" i="453"/>
  <c r="T34" i="453" l="1"/>
  <c r="S81" i="453"/>
  <c r="T81" i="453" l="1"/>
  <c r="U34" i="453"/>
  <c r="U81" i="453" l="1"/>
  <c r="V34" i="453"/>
  <c r="W34" i="453" l="1"/>
  <c r="V81" i="453"/>
  <c r="W81" i="453" l="1"/>
  <c r="X34" i="453"/>
  <c r="Y34" i="453" l="1"/>
  <c r="X81" i="453"/>
  <c r="Z34" i="453" l="1"/>
  <c r="Y81" i="453"/>
  <c r="Z81" i="453" l="1"/>
  <c r="AA34" i="453"/>
  <c r="AA81" i="453" l="1"/>
  <c r="AB34" i="453"/>
  <c r="AC34" i="453" l="1"/>
  <c r="AB81" i="453"/>
  <c r="AC81" i="453" l="1"/>
  <c r="AD34" i="453"/>
  <c r="AD81" i="453" l="1"/>
  <c r="AE34" i="453"/>
  <c r="AE81" i="453" l="1"/>
  <c r="AF34" i="453"/>
  <c r="AJ34" i="453" s="1"/>
  <c r="R24" i="15" s="1"/>
  <c r="AG34" i="453" l="1"/>
  <c r="B34" i="454" s="1"/>
  <c r="AF81" i="453"/>
  <c r="AI81" i="453" s="1"/>
  <c r="AN81" i="453" l="1"/>
  <c r="AK81" i="454" s="1"/>
  <c r="Z24" i="15"/>
  <c r="C34" i="454"/>
  <c r="B81" i="454"/>
  <c r="D34" i="454" l="1"/>
  <c r="C81" i="454"/>
  <c r="E34" i="454" l="1"/>
  <c r="D81" i="454"/>
  <c r="F34" i="454" l="1"/>
  <c r="E81" i="454"/>
  <c r="G34" i="454" l="1"/>
  <c r="F81" i="454"/>
  <c r="H34" i="454" l="1"/>
  <c r="G81" i="454"/>
  <c r="I34" i="454" l="1"/>
  <c r="H81" i="454"/>
  <c r="J34" i="454" l="1"/>
  <c r="I81" i="454"/>
  <c r="K34" i="454" l="1"/>
  <c r="J81" i="454"/>
  <c r="K81" i="454" l="1"/>
  <c r="L34" i="454"/>
  <c r="M34" i="454" l="1"/>
  <c r="L81" i="454"/>
  <c r="M81" i="454" l="1"/>
  <c r="N34" i="454"/>
  <c r="N81" i="454" l="1"/>
  <c r="O34" i="454"/>
  <c r="P34" i="454" l="1"/>
  <c r="O81" i="454"/>
  <c r="Q34" i="454" l="1"/>
  <c r="P81" i="454"/>
  <c r="Q81" i="454" l="1"/>
  <c r="R34" i="454"/>
  <c r="R81" i="454" l="1"/>
  <c r="S34" i="454"/>
  <c r="S81" i="454" l="1"/>
  <c r="T34" i="454"/>
  <c r="U34" i="454" l="1"/>
  <c r="T81" i="454"/>
  <c r="U81" i="454" l="1"/>
  <c r="V34" i="454"/>
  <c r="W34" i="454" l="1"/>
  <c r="V81" i="454"/>
  <c r="X34" i="454" l="1"/>
  <c r="W81" i="454"/>
  <c r="Y34" i="454" l="1"/>
  <c r="X81" i="454"/>
  <c r="Z34" i="454" l="1"/>
  <c r="Y81" i="454"/>
  <c r="Z81" i="454" l="1"/>
  <c r="AA34" i="454"/>
  <c r="AB34" i="454" l="1"/>
  <c r="AA81" i="454"/>
  <c r="AC34" i="454" l="1"/>
  <c r="AB81" i="454"/>
  <c r="AD34" i="454" l="1"/>
  <c r="AC81" i="454"/>
  <c r="AE34" i="454" l="1"/>
  <c r="AD81" i="454"/>
  <c r="AF34" i="454" l="1"/>
  <c r="B34" i="455" s="1"/>
  <c r="AE81" i="454"/>
  <c r="AH81" i="454" s="1"/>
  <c r="AI34" i="454"/>
  <c r="R25" i="15" s="1"/>
  <c r="AM81" i="454" l="1"/>
  <c r="AL81" i="455" s="1"/>
  <c r="Z25" i="15"/>
  <c r="C34" i="455"/>
  <c r="B81" i="455"/>
  <c r="D34" i="455" l="1"/>
  <c r="C81" i="455"/>
  <c r="E34" i="455" l="1"/>
  <c r="D81" i="455"/>
  <c r="F34" i="455" l="1"/>
  <c r="E81" i="455"/>
  <c r="G34" i="455" l="1"/>
  <c r="F81" i="455"/>
  <c r="H34" i="455" l="1"/>
  <c r="G81" i="455"/>
  <c r="I34" i="455" l="1"/>
  <c r="H81" i="455"/>
  <c r="J34" i="455" l="1"/>
  <c r="I81" i="455"/>
  <c r="K34" i="455" l="1"/>
  <c r="J81" i="455"/>
  <c r="L34" i="455" l="1"/>
  <c r="K81" i="455"/>
  <c r="M34" i="455" l="1"/>
  <c r="L81" i="455"/>
  <c r="N34" i="455" l="1"/>
  <c r="M81" i="455"/>
  <c r="N81" i="455" l="1"/>
  <c r="O34" i="455"/>
  <c r="O81" i="455" l="1"/>
  <c r="P34" i="455"/>
  <c r="P81" i="455" l="1"/>
  <c r="Q34" i="455"/>
  <c r="R34" i="455" l="1"/>
  <c r="Q81" i="455"/>
  <c r="R81" i="455" l="1"/>
  <c r="S34" i="455"/>
  <c r="S81" i="455" l="1"/>
  <c r="T34" i="455"/>
  <c r="T81" i="455" l="1"/>
  <c r="U34" i="455"/>
  <c r="U81" i="455" l="1"/>
  <c r="V34" i="455"/>
  <c r="V81" i="455" l="1"/>
  <c r="W34" i="455"/>
  <c r="X34" i="455" l="1"/>
  <c r="W81" i="455"/>
  <c r="Y34" i="455" l="1"/>
  <c r="X81" i="455"/>
  <c r="Z34" i="455" l="1"/>
  <c r="Y81" i="455"/>
  <c r="AA34" i="455" l="1"/>
  <c r="Z81" i="455"/>
  <c r="AB34" i="455" l="1"/>
  <c r="AA81" i="455"/>
  <c r="AB81" i="455" l="1"/>
  <c r="AC34" i="455"/>
  <c r="AC81" i="455" l="1"/>
  <c r="AD34" i="455"/>
  <c r="AD81" i="455" l="1"/>
  <c r="AE34" i="455"/>
  <c r="AE81" i="455" l="1"/>
  <c r="AF34" i="455"/>
  <c r="AG34" i="455" l="1"/>
  <c r="AF81" i="455"/>
  <c r="AI81" i="455" s="1"/>
  <c r="AJ34" i="455"/>
  <c r="R26" i="15" s="1"/>
  <c r="R32" i="15" l="1"/>
  <c r="R27" i="15"/>
  <c r="AN81" i="455"/>
  <c r="Z26" i="15"/>
  <c r="Z27" i="15" l="1"/>
  <c r="Z32"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C29" authorId="0" shapeId="0" xr:uid="{00000000-0006-0000-0000-000001000000}">
      <text>
        <r>
          <rPr>
            <b/>
            <sz val="8"/>
            <color indexed="81"/>
            <rFont val="Calibri"/>
            <family val="2"/>
          </rPr>
          <t>Please indicate if plus or minus hours by choosing "+" or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Jeannette Hügli</author>
    <author>Peter von Ballmoos</author>
    <author>--</author>
    <author>Filipovic Stojan ABRAXAS INFORMATIK AG</author>
  </authors>
  <commentList>
    <comment ref="AN10" authorId="0" shapeId="0" xr:uid="{2E45E1D5-30E2-4313-835F-F7802F390F84}">
      <text>
        <r>
          <rPr>
            <b/>
            <sz val="8"/>
            <color indexed="81"/>
            <rFont val="Calibri"/>
            <family val="2"/>
          </rPr>
          <t>Yearly balance
The first figure shows the balance by the end of the month.
The second figure shows the today's current balance by the
end of the year.</t>
        </r>
      </text>
    </comment>
    <comment ref="AI34" authorId="1" shapeId="0" xr:uid="{0C9C3B68-8FC3-43D5-9485-97F47F1341C6}">
      <text>
        <r>
          <rPr>
            <b/>
            <sz val="8"/>
            <color indexed="81"/>
            <rFont val="Calibri"/>
            <family val="2"/>
          </rPr>
          <t>Either: on call days at weekdays / weekends and public holidays / Sum
Or: (50 hours &amp; Vetsuisse): number of on call days below 5 h / above 5 h / Sum</t>
        </r>
      </text>
    </comment>
    <comment ref="A35" authorId="1" shapeId="0" xr:uid="{149586DB-4000-4983-AF95-42001B7FF9EC}">
      <text>
        <r>
          <rPr>
            <b/>
            <sz val="8"/>
            <color indexed="81"/>
            <rFont val="Calibri"/>
            <family val="2"/>
          </rPr>
          <t>Entitled to overtime (approval required)</t>
        </r>
      </text>
    </comment>
    <comment ref="A36" authorId="1" shapeId="0" xr:uid="{B76A2C7C-8EA8-41F5-A8DD-539171EA476B}">
      <text>
        <r>
          <rPr>
            <b/>
            <sz val="8"/>
            <color indexed="81"/>
            <rFont val="Calibri"/>
            <family val="2"/>
          </rPr>
          <t>Entitled to overtime (approval required)</t>
        </r>
      </text>
    </comment>
    <comment ref="A37" authorId="1" shapeId="0" xr:uid="{68F89F56-7BA6-4AA7-B72A-0F5573ED6E12}">
      <text>
        <r>
          <rPr>
            <b/>
            <sz val="8"/>
            <color indexed="81"/>
            <rFont val="Calibri"/>
            <family val="2"/>
          </rPr>
          <t>Entitled to overtime (approval required)</t>
        </r>
      </text>
    </comment>
    <comment ref="A38" authorId="1" shapeId="0" xr:uid="{C8498E09-A65E-42E0-8B98-EA545CFD63F8}">
      <text>
        <r>
          <rPr>
            <b/>
            <sz val="8"/>
            <color indexed="81"/>
            <rFont val="Calibri"/>
            <family val="2"/>
          </rPr>
          <t>Entitled to overtime (approval required)</t>
        </r>
      </text>
    </comment>
    <comment ref="A39" authorId="1" shapeId="0" xr:uid="{E67B9F91-BEB7-4D4B-9CDD-49C31B5F7768}">
      <text>
        <r>
          <rPr>
            <b/>
            <sz val="8"/>
            <color indexed="81"/>
            <rFont val="Calibri"/>
            <family val="2"/>
          </rPr>
          <t>Entitled to overtime (approval required)</t>
        </r>
      </text>
    </comment>
    <comment ref="A40" authorId="1" shapeId="0" xr:uid="{052DD15C-CA5A-4E53-824B-DA57D96E7B34}">
      <text>
        <r>
          <rPr>
            <b/>
            <sz val="8"/>
            <color indexed="81"/>
            <rFont val="Calibri"/>
            <family val="2"/>
          </rPr>
          <t>Entitled to overtime (approval required)</t>
        </r>
      </text>
    </comment>
    <comment ref="A41" authorId="1" shapeId="0" xr:uid="{780690B9-83D7-4E3B-9678-98A401A2D1F1}">
      <text>
        <r>
          <rPr>
            <b/>
            <sz val="8"/>
            <color indexed="81"/>
            <rFont val="Calibri"/>
            <family val="2"/>
          </rPr>
          <t>Entitled to overtime (approval required)</t>
        </r>
      </text>
    </comment>
    <comment ref="A42" authorId="1" shapeId="0" xr:uid="{D3177E0C-E7F7-4C6A-A56A-1328E4C317AB}">
      <text>
        <r>
          <rPr>
            <b/>
            <sz val="8"/>
            <color indexed="81"/>
            <rFont val="Calibri"/>
            <family val="2"/>
          </rPr>
          <t>Entitled to overtime (approval required)</t>
        </r>
      </text>
    </comment>
    <comment ref="A43" authorId="1" shapeId="0" xr:uid="{BC0ACF95-DE8B-4642-8558-C5EA51D82928}">
      <text>
        <r>
          <rPr>
            <b/>
            <sz val="8"/>
            <color indexed="81"/>
            <rFont val="Calibri"/>
            <family val="2"/>
          </rPr>
          <t>Entitled to overtime (approval required)</t>
        </r>
      </text>
    </comment>
    <comment ref="A44" authorId="1" shapeId="0" xr:uid="{04A49003-34BC-449E-90F1-CA4C9DB0BE65}">
      <text>
        <r>
          <rPr>
            <b/>
            <sz val="8"/>
            <color indexed="81"/>
            <rFont val="Calibri"/>
            <family val="2"/>
          </rPr>
          <t>Entitled to overtime (approval required)</t>
        </r>
      </text>
    </comment>
    <comment ref="AL48" authorId="0" shapeId="0" xr:uid="{EE06F7C7-38BC-44AD-85DB-9D53436D0E65}">
      <text>
        <r>
          <rPr>
            <b/>
            <sz val="8"/>
            <color indexed="81"/>
            <rFont val="Calibri"/>
            <family val="2"/>
          </rPr>
          <t>On call hours of the first day of the following month that are calculated to the previous day.
In December you can manually enter on call hours between 00:00 and 08:00 worked on the 1st January of the following year.
In all other months the value is calculated and shan't be overwritten.</t>
        </r>
      </text>
    </comment>
    <comment ref="AG57" authorId="2" shapeId="0" xr:uid="{ACAC9637-21DA-421A-A1A3-2771219855A9}">
      <text>
        <r>
          <rPr>
            <b/>
            <sz val="8"/>
            <color indexed="81"/>
            <rFont val="Calibri"/>
            <family val="2"/>
          </rPr>
          <t>Please indicate with "+" or "-" if correction is plus or minus.</t>
        </r>
      </text>
    </comment>
    <comment ref="AK58" authorId="0" shapeId="0" xr:uid="{495371BC-EAE6-4343-B7BF-EC6ADF691B90}">
      <text>
        <r>
          <rPr>
            <b/>
            <sz val="8"/>
            <color indexed="81"/>
            <rFont val="Calibri"/>
            <family val="2"/>
          </rPr>
          <t>These hours are already included in the monthly total</t>
        </r>
      </text>
    </comment>
    <comment ref="AF63" authorId="3" shapeId="0" xr:uid="{13A9070C-8AD6-44D7-980A-CC2CB45D3013}">
      <text>
        <r>
          <rPr>
            <b/>
            <sz val="8"/>
            <color indexed="81"/>
            <rFont val="Calibri"/>
            <family val="2"/>
          </rPr>
          <t>Supplement of 25% on ordered overtime applies up to pay category 16 according to §127 VVO.
Entitled employees choose "Yes" in field "Supplement on Overtime entitled" on worksheet "Eingabeblatt"
Pay category 17 and up has to compensate overtime 1.1.
No supplement for 50 hours &amp; Vetsuisse.</t>
        </r>
      </text>
    </comment>
    <comment ref="AG64" authorId="2" shapeId="0" xr:uid="{6188FB7D-548B-4CE8-B9F3-DC717B8A87AE}">
      <text>
        <r>
          <rPr>
            <b/>
            <sz val="8"/>
            <color indexed="81"/>
            <rFont val="Calibri"/>
            <family val="2"/>
          </rPr>
          <t>Please indicate with "+" or "-" if correction is plus or minus.</t>
        </r>
      </text>
    </comment>
    <comment ref="AI72" authorId="1" shapeId="0" xr:uid="{AF890BEF-63D8-431A-9A4C-189A23BB7CBA}">
      <text>
        <r>
          <rPr>
            <b/>
            <sz val="8"/>
            <color indexed="81"/>
            <rFont val="Calibri"/>
            <family val="2"/>
          </rPr>
          <t>Number of planned night shifts</t>
        </r>
      </text>
    </comment>
    <comment ref="AI73" authorId="0" shapeId="0" xr:uid="{38F27ECD-4E7B-439E-883C-719A92423FF1}">
      <text>
        <r>
          <rPr>
            <b/>
            <sz val="8"/>
            <color indexed="81"/>
            <rFont val="Calibri"/>
            <family val="2"/>
          </rPr>
          <t>Number of days with night shifts.
50 hours &amp; Vetsuisse: according to out time 24:00
ServiceCenter Irchel: planned night shifts
Others: every night shift counts</t>
        </r>
      </text>
    </comment>
    <comment ref="AL76" authorId="0" shapeId="0" xr:uid="{D2FA9903-2D65-4A87-A745-218B1AB16FF0}">
      <text>
        <r>
          <rPr>
            <b/>
            <sz val="8"/>
            <color indexed="81"/>
            <rFont val="Calibri"/>
            <family val="2"/>
          </rPr>
          <t>Night shift hours of the first day of the following month that are calculated to the previous day.
In December you can manually enter night shift hours between 00:00 and 06:00 worked on the 1st January of the following year.
In all other months the value is calculated and shan't be overwritten.</t>
        </r>
      </text>
    </comment>
    <comment ref="AM79" authorId="0" shapeId="0" xr:uid="{66754E3A-83D3-4083-9CA8-1135DE394ED1}">
      <text>
        <r>
          <rPr>
            <b/>
            <sz val="8"/>
            <color indexed="81"/>
            <rFont val="Calibri"/>
            <family val="2"/>
          </rPr>
          <t>Any compensation during this month is deducted here.</t>
        </r>
      </text>
    </comment>
    <comment ref="AI82" authorId="0" shapeId="0" xr:uid="{E130B6A4-D116-4CE6-8650-E8A7F4042EF9}">
      <text>
        <r>
          <rPr>
            <b/>
            <sz val="8"/>
            <color indexed="81"/>
            <rFont val="Calibri"/>
            <family val="2"/>
          </rPr>
          <t>Number of Saturday/Sunday shifts</t>
        </r>
      </text>
    </comment>
    <comment ref="AG85" authorId="2" shapeId="0" xr:uid="{19F4EE81-AC20-4764-8BF2-435C28385575}">
      <text>
        <r>
          <rPr>
            <b/>
            <sz val="8"/>
            <color indexed="81"/>
            <rFont val="Calibri"/>
            <family val="2"/>
          </rPr>
          <t>Please indicate with "+" or "-" if correction is plus or minus.</t>
        </r>
      </text>
    </comment>
    <comment ref="A97" authorId="2" shapeId="0" xr:uid="{CF754E6C-D95E-43B5-8057-A461D7938A79}">
      <text>
        <r>
          <rPr>
            <b/>
            <sz val="8"/>
            <color indexed="81"/>
            <rFont val="Calibri"/>
            <family val="2"/>
          </rPr>
          <t>Project description must be specified on the worksheet "Eingabeblatt".</t>
        </r>
      </text>
    </comment>
    <comment ref="A98" authorId="2" shapeId="0" xr:uid="{20D1656C-2667-4FA6-8967-843738C918F0}">
      <text>
        <r>
          <rPr>
            <b/>
            <sz val="8"/>
            <color indexed="81"/>
            <rFont val="Calibri"/>
            <family val="2"/>
          </rPr>
          <t>Project description must be specified on the worksheet "Eingabeblatt".</t>
        </r>
      </text>
    </comment>
    <comment ref="A99" authorId="2" shapeId="0" xr:uid="{92E32748-4B76-4F66-A031-3AC610AD3E3B}">
      <text>
        <r>
          <rPr>
            <b/>
            <sz val="8"/>
            <color indexed="81"/>
            <rFont val="Calibri"/>
            <family val="2"/>
          </rPr>
          <t>Project description must be specified on the worksheet "Eingabeblatt".</t>
        </r>
      </text>
    </comment>
    <comment ref="A100" authorId="2" shapeId="0" xr:uid="{9FDD8CB5-BA68-4578-82D8-97EB1F580152}">
      <text>
        <r>
          <rPr>
            <b/>
            <sz val="8"/>
            <color indexed="81"/>
            <rFont val="Calibri"/>
            <family val="2"/>
          </rPr>
          <t>Project description must be specified on the worksheet "Eingabeblatt".</t>
        </r>
      </text>
    </comment>
    <comment ref="A101" authorId="2" shapeId="0" xr:uid="{C1885E33-78DA-4A27-8256-8D1A44C57CF3}">
      <text>
        <r>
          <rPr>
            <b/>
            <sz val="8"/>
            <color indexed="81"/>
            <rFont val="Calibri"/>
            <family val="2"/>
          </rPr>
          <t>Project description must be specified on the worksheet "Eingabeblatt".</t>
        </r>
      </text>
    </comment>
    <comment ref="A102" authorId="2" shapeId="0" xr:uid="{8C9705B5-1DFB-4A67-9C39-292DD22D7327}">
      <text>
        <r>
          <rPr>
            <b/>
            <sz val="8"/>
            <color indexed="81"/>
            <rFont val="Calibri"/>
            <family val="2"/>
          </rPr>
          <t>Project description must be specified on the worksheet "Eingabeblatt".</t>
        </r>
      </text>
    </comment>
    <comment ref="A103" authorId="2" shapeId="0" xr:uid="{7FF28096-40EC-4294-95BF-7740A2CC58FD}">
      <text>
        <r>
          <rPr>
            <b/>
            <sz val="8"/>
            <color indexed="81"/>
            <rFont val="Calibri"/>
            <family val="2"/>
          </rPr>
          <t>Project description must be specified on the worksheet "Eingabeblatt".</t>
        </r>
      </text>
    </comment>
    <comment ref="A104" authorId="2" shapeId="0" xr:uid="{74767F6B-325F-4A80-A421-3B2EC60494AB}">
      <text>
        <r>
          <rPr>
            <b/>
            <sz val="8"/>
            <color indexed="81"/>
            <rFont val="Calibri"/>
            <family val="2"/>
          </rPr>
          <t>Project description must be specified on the worksheet "Eingabeblatt".</t>
        </r>
      </text>
    </comment>
    <comment ref="A105" authorId="2" shapeId="0" xr:uid="{B6465A21-1C43-4B3E-B7D8-138535145D26}">
      <text>
        <r>
          <rPr>
            <b/>
            <sz val="8"/>
            <color indexed="81"/>
            <rFont val="Calibri"/>
            <family val="2"/>
          </rPr>
          <t>Project description must be specified on the worksheet "Eingabeblatt".</t>
        </r>
      </text>
    </comment>
    <comment ref="A106" authorId="2" shapeId="0" xr:uid="{5DDF8161-8E68-431B-9392-046125190E7F}">
      <text>
        <r>
          <rPr>
            <b/>
            <sz val="8"/>
            <color indexed="81"/>
            <rFont val="Calibri"/>
            <family val="2"/>
          </rPr>
          <t>Project description must be specified on the worksheet "Eingabeblatt".</t>
        </r>
      </text>
    </comment>
    <comment ref="A107" authorId="2" shapeId="0" xr:uid="{81E609D7-40B0-4AE7-857B-D8CE7B8B840A}">
      <text>
        <r>
          <rPr>
            <b/>
            <sz val="8"/>
            <color indexed="81"/>
            <rFont val="Calibri"/>
            <family val="2"/>
          </rPr>
          <t>Project description must be specified on the worksheet "Eingabeblatt".</t>
        </r>
      </text>
    </comment>
    <comment ref="A108" authorId="2" shapeId="0" xr:uid="{B90C9B06-09D5-468C-A431-FEE54FDD333A}">
      <text>
        <r>
          <rPr>
            <b/>
            <sz val="8"/>
            <color indexed="81"/>
            <rFont val="Calibri"/>
            <family val="2"/>
          </rPr>
          <t>Project description must be specified on the worksheet "Eingabeblatt".</t>
        </r>
      </text>
    </comment>
    <comment ref="A109" authorId="2" shapeId="0" xr:uid="{061D7B47-2777-4105-9B20-ACF503347A03}">
      <text>
        <r>
          <rPr>
            <b/>
            <sz val="8"/>
            <color indexed="81"/>
            <rFont val="Calibri"/>
            <family val="2"/>
          </rPr>
          <t>Project description must be specified on the worksheet "Eingabeblatt".</t>
        </r>
      </text>
    </comment>
    <comment ref="A110" authorId="2" shapeId="0" xr:uid="{4815ED78-2B4B-44CE-9BD8-45A1FB7FDF23}">
      <text>
        <r>
          <rPr>
            <b/>
            <sz val="8"/>
            <color indexed="81"/>
            <rFont val="Calibri"/>
            <family val="2"/>
          </rPr>
          <t>Project description must be specified on the worksheet "Eingabeblatt".</t>
        </r>
      </text>
    </comment>
    <comment ref="A111" authorId="2" shapeId="0" xr:uid="{BC7D6C4B-F2EA-4825-B482-5EE31E2A17FA}">
      <text>
        <r>
          <rPr>
            <b/>
            <sz val="8"/>
            <color indexed="81"/>
            <rFont val="Calibri"/>
            <family val="2"/>
          </rPr>
          <t>Project description must be specified on the worksheet "Eingabeblatt".</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Jeannette Hügli</author>
    <author>Peter von Ballmoos</author>
    <author>--</author>
    <author>Filipovic Stojan ABRAXAS INFORMATIK AG</author>
  </authors>
  <commentList>
    <comment ref="AO10" authorId="0" shapeId="0" xr:uid="{92B1CFE8-246A-47E2-A2BF-5F1FA1DFE363}">
      <text>
        <r>
          <rPr>
            <b/>
            <sz val="8"/>
            <color indexed="81"/>
            <rFont val="Calibri"/>
            <family val="2"/>
          </rPr>
          <t>Yearly balance
The first figure shows the balance by the end of the month.
The second figure shows the today's current balance by the
end of the year.</t>
        </r>
      </text>
    </comment>
    <comment ref="AJ34" authorId="1" shapeId="0" xr:uid="{7417E479-2613-4CB1-8279-05DB3D9C0F83}">
      <text>
        <r>
          <rPr>
            <b/>
            <sz val="8"/>
            <color indexed="81"/>
            <rFont val="Calibri"/>
            <family val="2"/>
          </rPr>
          <t>Either: on call days at weekdays / weekends and public holidays / Sum
Or: (50 hours &amp; Vetsuisse): number of on call days below 5 h / above 5 h / Sum</t>
        </r>
      </text>
    </comment>
    <comment ref="A35" authorId="1" shapeId="0" xr:uid="{5950F345-D204-44C9-918A-480D455CB7F8}">
      <text>
        <r>
          <rPr>
            <b/>
            <sz val="8"/>
            <color indexed="81"/>
            <rFont val="Calibri"/>
            <family val="2"/>
          </rPr>
          <t>Entitled to overtime (approval required)</t>
        </r>
      </text>
    </comment>
    <comment ref="A36" authorId="1" shapeId="0" xr:uid="{D6BFDF40-A492-440B-83D8-24E57C75E723}">
      <text>
        <r>
          <rPr>
            <b/>
            <sz val="8"/>
            <color indexed="81"/>
            <rFont val="Calibri"/>
            <family val="2"/>
          </rPr>
          <t>Entitled to overtime (approval required)</t>
        </r>
      </text>
    </comment>
    <comment ref="A37" authorId="1" shapeId="0" xr:uid="{A7E91E94-B49F-4A93-9E08-B40C8A5D5346}">
      <text>
        <r>
          <rPr>
            <b/>
            <sz val="8"/>
            <color indexed="81"/>
            <rFont val="Calibri"/>
            <family val="2"/>
          </rPr>
          <t>Entitled to overtime (approval required)</t>
        </r>
      </text>
    </comment>
    <comment ref="A38" authorId="1" shapeId="0" xr:uid="{21C12DA4-F91A-4E7D-9CCF-3DBE12CE08DC}">
      <text>
        <r>
          <rPr>
            <b/>
            <sz val="8"/>
            <color indexed="81"/>
            <rFont val="Calibri"/>
            <family val="2"/>
          </rPr>
          <t>Entitled to overtime (approval required)</t>
        </r>
      </text>
    </comment>
    <comment ref="A39" authorId="1" shapeId="0" xr:uid="{BBA70783-E926-4205-ABF9-B7B14FEFE7CE}">
      <text>
        <r>
          <rPr>
            <b/>
            <sz val="8"/>
            <color indexed="81"/>
            <rFont val="Calibri"/>
            <family val="2"/>
          </rPr>
          <t>Entitled to overtime (approval required)</t>
        </r>
      </text>
    </comment>
    <comment ref="A40" authorId="1" shapeId="0" xr:uid="{8BDEA97E-443C-46B7-B9B1-4E02F89D02F0}">
      <text>
        <r>
          <rPr>
            <b/>
            <sz val="8"/>
            <color indexed="81"/>
            <rFont val="Calibri"/>
            <family val="2"/>
          </rPr>
          <t>Entitled to overtime (approval required)</t>
        </r>
      </text>
    </comment>
    <comment ref="A41" authorId="1" shapeId="0" xr:uid="{D4636C0B-02F2-42BF-BE9F-C546D0910C43}">
      <text>
        <r>
          <rPr>
            <b/>
            <sz val="8"/>
            <color indexed="81"/>
            <rFont val="Calibri"/>
            <family val="2"/>
          </rPr>
          <t>Entitled to overtime (approval required)</t>
        </r>
      </text>
    </comment>
    <comment ref="A42" authorId="1" shapeId="0" xr:uid="{2ECF5516-5D9F-4E1B-9A56-1B1E4371AC8F}">
      <text>
        <r>
          <rPr>
            <b/>
            <sz val="8"/>
            <color indexed="81"/>
            <rFont val="Calibri"/>
            <family val="2"/>
          </rPr>
          <t>Entitled to overtime (approval required)</t>
        </r>
      </text>
    </comment>
    <comment ref="A43" authorId="1" shapeId="0" xr:uid="{F00AA300-46CC-497C-8A03-F891AC9C7C95}">
      <text>
        <r>
          <rPr>
            <b/>
            <sz val="8"/>
            <color indexed="81"/>
            <rFont val="Calibri"/>
            <family val="2"/>
          </rPr>
          <t>Entitled to overtime (approval required)</t>
        </r>
      </text>
    </comment>
    <comment ref="A44" authorId="1" shapeId="0" xr:uid="{9AFAABC0-8922-41B1-B05F-3B1B29087658}">
      <text>
        <r>
          <rPr>
            <b/>
            <sz val="8"/>
            <color indexed="81"/>
            <rFont val="Calibri"/>
            <family val="2"/>
          </rPr>
          <t>Entitled to overtime (approval required)</t>
        </r>
      </text>
    </comment>
    <comment ref="AM48" authorId="0" shapeId="0" xr:uid="{2B8022C0-4F71-45B4-B790-12FAEF99891F}">
      <text>
        <r>
          <rPr>
            <b/>
            <sz val="8"/>
            <color indexed="81"/>
            <rFont val="Calibri"/>
            <family val="2"/>
          </rPr>
          <t>On call hours of the first day of the following month that are calculated to the previous day.
In December you can manually enter on call hours between 00:00 and 08:00 worked on the 1st January of the following year.
In all other months the value is calculated and shan't be overwritten.</t>
        </r>
      </text>
    </comment>
    <comment ref="AH57" authorId="2" shapeId="0" xr:uid="{A2A5FB75-C174-44CB-ADB5-1CB7A706FF28}">
      <text>
        <r>
          <rPr>
            <b/>
            <sz val="8"/>
            <color indexed="81"/>
            <rFont val="Calibri"/>
            <family val="2"/>
          </rPr>
          <t>Please indicate with "+" or "-" if correction is plus or minus.</t>
        </r>
      </text>
    </comment>
    <comment ref="AL58" authorId="0" shapeId="0" xr:uid="{DA283E99-C5C1-41CD-8F72-05CBAB5B50E0}">
      <text>
        <r>
          <rPr>
            <b/>
            <sz val="8"/>
            <color indexed="81"/>
            <rFont val="Calibri"/>
            <family val="2"/>
          </rPr>
          <t>These hours are already included in the monthly total</t>
        </r>
      </text>
    </comment>
    <comment ref="AG63" authorId="3" shapeId="0" xr:uid="{92DB4413-E8BA-4304-BCBF-966A9E507BE6}">
      <text>
        <r>
          <rPr>
            <b/>
            <sz val="8"/>
            <color indexed="81"/>
            <rFont val="Calibri"/>
            <family val="2"/>
          </rPr>
          <t>Supplement of 25% on ordered overtime applies up to pay category 16 according to §127 VVO.
Entitled employees choose "Yes" in field "Supplement on Overtime entitled" on worksheet "Eingabeblatt"
Pay category 17 and up has to compensate overtime 1.1.
No supplement for 50 hours &amp; Vetsuisse.</t>
        </r>
      </text>
    </comment>
    <comment ref="AH64" authorId="2" shapeId="0" xr:uid="{D86C297E-C555-4E9C-9C98-BACE9A71735B}">
      <text>
        <r>
          <rPr>
            <b/>
            <sz val="8"/>
            <color indexed="81"/>
            <rFont val="Calibri"/>
            <family val="2"/>
          </rPr>
          <t>Please indicate with "+" or "-" if correction is plus or minus.</t>
        </r>
      </text>
    </comment>
    <comment ref="AJ72" authorId="1" shapeId="0" xr:uid="{A4CB6762-8B1E-473D-9727-F099CA8146CB}">
      <text>
        <r>
          <rPr>
            <b/>
            <sz val="8"/>
            <color indexed="81"/>
            <rFont val="Calibri"/>
            <family val="2"/>
          </rPr>
          <t>Number of planned night shifts</t>
        </r>
      </text>
    </comment>
    <comment ref="AJ73" authorId="0" shapeId="0" xr:uid="{28EDBE65-8A31-4FE3-A83E-282006A0E5AF}">
      <text>
        <r>
          <rPr>
            <b/>
            <sz val="8"/>
            <color indexed="81"/>
            <rFont val="Calibri"/>
            <family val="2"/>
          </rPr>
          <t>Number of days with night shifts.
50 hours &amp; Vetsuisse: according to out time 24:00
ServiceCenter Irchel: planned night shifts
Others: every night shift counts</t>
        </r>
      </text>
    </comment>
    <comment ref="AM76" authorId="0" shapeId="0" xr:uid="{02E64F89-22D4-4215-ADEE-8D197286DC25}">
      <text>
        <r>
          <rPr>
            <b/>
            <sz val="8"/>
            <color indexed="81"/>
            <rFont val="Calibri"/>
            <family val="2"/>
          </rPr>
          <t>Night shift hours of the first day of the following month that are calculated to the previous day.
In December you can manually enter night shift hours between 00:00 and 06:00 worked on the 1st January of the following year.
In all other months the value is calculated and shan't be overwritten.</t>
        </r>
      </text>
    </comment>
    <comment ref="AN79" authorId="0" shapeId="0" xr:uid="{71D81828-84F9-44C7-A7FA-6A7D6F9A15A4}">
      <text>
        <r>
          <rPr>
            <b/>
            <sz val="8"/>
            <color indexed="81"/>
            <rFont val="Calibri"/>
            <family val="2"/>
          </rPr>
          <t>Any compensation during this month is deducted here.</t>
        </r>
      </text>
    </comment>
    <comment ref="AJ82" authorId="0" shapeId="0" xr:uid="{DB70535F-CB3B-44DC-ABC7-08679593AD10}">
      <text>
        <r>
          <rPr>
            <b/>
            <sz val="8"/>
            <color indexed="81"/>
            <rFont val="Calibri"/>
            <family val="2"/>
          </rPr>
          <t>Number of Saturday/Sunday shifts</t>
        </r>
      </text>
    </comment>
    <comment ref="AH85" authorId="2" shapeId="0" xr:uid="{54FBA4B3-39A4-42EE-9A64-AB80943781EC}">
      <text>
        <r>
          <rPr>
            <b/>
            <sz val="8"/>
            <color indexed="81"/>
            <rFont val="Calibri"/>
            <family val="2"/>
          </rPr>
          <t>Please indicate with "+" or "-" if correction is plus or minus.</t>
        </r>
      </text>
    </comment>
    <comment ref="A97" authorId="2" shapeId="0" xr:uid="{B3E3F6F2-44F7-4641-B65A-FC07F3BF8178}">
      <text>
        <r>
          <rPr>
            <b/>
            <sz val="8"/>
            <color indexed="81"/>
            <rFont val="Calibri"/>
            <family val="2"/>
          </rPr>
          <t>Project description must be specified on the worksheet "Eingabeblatt".</t>
        </r>
      </text>
    </comment>
    <comment ref="A98" authorId="2" shapeId="0" xr:uid="{36030D2F-8C7C-4A11-8B26-02FFD8B18649}">
      <text>
        <r>
          <rPr>
            <b/>
            <sz val="8"/>
            <color indexed="81"/>
            <rFont val="Calibri"/>
            <family val="2"/>
          </rPr>
          <t>Project description must be specified on the worksheet "Eingabeblatt".</t>
        </r>
      </text>
    </comment>
    <comment ref="A99" authorId="2" shapeId="0" xr:uid="{9B2BDDD7-4953-44CF-93BA-C428D94A7425}">
      <text>
        <r>
          <rPr>
            <b/>
            <sz val="8"/>
            <color indexed="81"/>
            <rFont val="Calibri"/>
            <family val="2"/>
          </rPr>
          <t>Project description must be specified on the worksheet "Eingabeblatt".</t>
        </r>
      </text>
    </comment>
    <comment ref="A100" authorId="2" shapeId="0" xr:uid="{C2C03F36-2033-483B-9546-8053B3C996EF}">
      <text>
        <r>
          <rPr>
            <b/>
            <sz val="8"/>
            <color indexed="81"/>
            <rFont val="Calibri"/>
            <family val="2"/>
          </rPr>
          <t>Project description must be specified on the worksheet "Eingabeblatt".</t>
        </r>
      </text>
    </comment>
    <comment ref="A101" authorId="2" shapeId="0" xr:uid="{E8A37D89-B87A-41B3-8F08-4D867EB4F6D1}">
      <text>
        <r>
          <rPr>
            <b/>
            <sz val="8"/>
            <color indexed="81"/>
            <rFont val="Calibri"/>
            <family val="2"/>
          </rPr>
          <t>Project description must be specified on the worksheet "Eingabeblatt".</t>
        </r>
      </text>
    </comment>
    <comment ref="A102" authorId="2" shapeId="0" xr:uid="{189F6DA6-53A7-4298-B427-74A72C1DCDBC}">
      <text>
        <r>
          <rPr>
            <b/>
            <sz val="8"/>
            <color indexed="81"/>
            <rFont val="Calibri"/>
            <family val="2"/>
          </rPr>
          <t>Project description must be specified on the worksheet "Eingabeblatt".</t>
        </r>
      </text>
    </comment>
    <comment ref="A103" authorId="2" shapeId="0" xr:uid="{59FDE9C4-46C3-4541-B0D9-069FB3302A8A}">
      <text>
        <r>
          <rPr>
            <b/>
            <sz val="8"/>
            <color indexed="81"/>
            <rFont val="Calibri"/>
            <family val="2"/>
          </rPr>
          <t>Project description must be specified on the worksheet "Eingabeblatt".</t>
        </r>
      </text>
    </comment>
    <comment ref="A104" authorId="2" shapeId="0" xr:uid="{D5D04D7C-1952-4AD3-915D-15690014D6A2}">
      <text>
        <r>
          <rPr>
            <b/>
            <sz val="8"/>
            <color indexed="81"/>
            <rFont val="Calibri"/>
            <family val="2"/>
          </rPr>
          <t>Project description must be specified on the worksheet "Eingabeblatt".</t>
        </r>
      </text>
    </comment>
    <comment ref="A105" authorId="2" shapeId="0" xr:uid="{8C0349B7-9BD1-475A-BB35-C612E4EDC6C6}">
      <text>
        <r>
          <rPr>
            <b/>
            <sz val="8"/>
            <color indexed="81"/>
            <rFont val="Calibri"/>
            <family val="2"/>
          </rPr>
          <t>Project description must be specified on the worksheet "Eingabeblatt".</t>
        </r>
      </text>
    </comment>
    <comment ref="A106" authorId="2" shapeId="0" xr:uid="{B3FF062E-7A70-4093-9FA3-2BBE4BC94E2C}">
      <text>
        <r>
          <rPr>
            <b/>
            <sz val="8"/>
            <color indexed="81"/>
            <rFont val="Calibri"/>
            <family val="2"/>
          </rPr>
          <t>Project description must be specified on the worksheet "Eingabeblatt".</t>
        </r>
      </text>
    </comment>
    <comment ref="A107" authorId="2" shapeId="0" xr:uid="{EADAC02D-69CB-45A5-80A4-B2EA75041B98}">
      <text>
        <r>
          <rPr>
            <b/>
            <sz val="8"/>
            <color indexed="81"/>
            <rFont val="Calibri"/>
            <family val="2"/>
          </rPr>
          <t>Project description must be specified on the worksheet "Eingabeblatt".</t>
        </r>
      </text>
    </comment>
    <comment ref="A108" authorId="2" shapeId="0" xr:uid="{13BBB4AC-F912-412F-B557-EB092A00BA0A}">
      <text>
        <r>
          <rPr>
            <b/>
            <sz val="8"/>
            <color indexed="81"/>
            <rFont val="Calibri"/>
            <family val="2"/>
          </rPr>
          <t>Project description must be specified on the worksheet "Eingabeblatt".</t>
        </r>
      </text>
    </comment>
    <comment ref="A109" authorId="2" shapeId="0" xr:uid="{A2CF9C47-FC4B-46AE-AD4C-0419298457CF}">
      <text>
        <r>
          <rPr>
            <b/>
            <sz val="8"/>
            <color indexed="81"/>
            <rFont val="Calibri"/>
            <family val="2"/>
          </rPr>
          <t>Project description must be specified on the worksheet "Eingabeblatt".</t>
        </r>
      </text>
    </comment>
    <comment ref="A110" authorId="2" shapeId="0" xr:uid="{00839518-A7B8-4650-A608-CF72F0D41609}">
      <text>
        <r>
          <rPr>
            <b/>
            <sz val="8"/>
            <color indexed="81"/>
            <rFont val="Calibri"/>
            <family val="2"/>
          </rPr>
          <t>Project description must be specified on the worksheet "Eingabeblatt".</t>
        </r>
      </text>
    </comment>
    <comment ref="A111" authorId="2" shapeId="0" xr:uid="{B5DF295E-E126-4CF3-B35E-2C2CB96707DE}">
      <text>
        <r>
          <rPr>
            <b/>
            <sz val="8"/>
            <color indexed="81"/>
            <rFont val="Calibri"/>
            <family val="2"/>
          </rPr>
          <t>Project description must be specified on the worksheet "Eingabeblatt".</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Jeannette Hügli</author>
    <author>Peter von Ballmoos</author>
    <author>--</author>
    <author>Filipovic Stojan ABRAXAS INFORMATIK AG</author>
  </authors>
  <commentList>
    <comment ref="AN10" authorId="0" shapeId="0" xr:uid="{D4DABFDF-4EB5-49E4-8AF0-F00C96299BF8}">
      <text>
        <r>
          <rPr>
            <b/>
            <sz val="8"/>
            <color indexed="81"/>
            <rFont val="Calibri"/>
            <family val="2"/>
          </rPr>
          <t>Yearly balance
The first figure shows the balance by the end of the month.
The second figure shows the today's current balance by the
end of the year.</t>
        </r>
      </text>
    </comment>
    <comment ref="AI34" authorId="1" shapeId="0" xr:uid="{0405E2B2-22DE-4A66-850A-54E28C618A37}">
      <text>
        <r>
          <rPr>
            <b/>
            <sz val="8"/>
            <color indexed="81"/>
            <rFont val="Calibri"/>
            <family val="2"/>
          </rPr>
          <t>Either: on call days at weekdays / weekends and public holidays / Sum
Or: (50 hours &amp; Vetsuisse): number of on call days below 5 h / above 5 h / Sum</t>
        </r>
      </text>
    </comment>
    <comment ref="A35" authorId="1" shapeId="0" xr:uid="{D47C444D-AC98-4541-B73F-B93EE4E2FBAD}">
      <text>
        <r>
          <rPr>
            <b/>
            <sz val="8"/>
            <color indexed="81"/>
            <rFont val="Calibri"/>
            <family val="2"/>
          </rPr>
          <t>Entitled to overtime (approval required)</t>
        </r>
      </text>
    </comment>
    <comment ref="A36" authorId="1" shapeId="0" xr:uid="{0F1923FD-9AB0-4386-8B9B-78B215CE864D}">
      <text>
        <r>
          <rPr>
            <b/>
            <sz val="8"/>
            <color indexed="81"/>
            <rFont val="Calibri"/>
            <family val="2"/>
          </rPr>
          <t>Entitled to overtime (approval required)</t>
        </r>
      </text>
    </comment>
    <comment ref="A37" authorId="1" shapeId="0" xr:uid="{9D09365E-38C9-4E7E-97EB-C2F4FA1ED2F0}">
      <text>
        <r>
          <rPr>
            <b/>
            <sz val="8"/>
            <color indexed="81"/>
            <rFont val="Calibri"/>
            <family val="2"/>
          </rPr>
          <t>Entitled to overtime (approval required)</t>
        </r>
      </text>
    </comment>
    <comment ref="A38" authorId="1" shapeId="0" xr:uid="{D9AD7766-BD35-4661-94EF-335C0E9BB414}">
      <text>
        <r>
          <rPr>
            <b/>
            <sz val="8"/>
            <color indexed="81"/>
            <rFont val="Calibri"/>
            <family val="2"/>
          </rPr>
          <t>Entitled to overtime (approval required)</t>
        </r>
      </text>
    </comment>
    <comment ref="A39" authorId="1" shapeId="0" xr:uid="{7B754BC6-C5D3-4D82-9289-F13EFD94F979}">
      <text>
        <r>
          <rPr>
            <b/>
            <sz val="8"/>
            <color indexed="81"/>
            <rFont val="Calibri"/>
            <family val="2"/>
          </rPr>
          <t>Entitled to overtime (approval required)</t>
        </r>
      </text>
    </comment>
    <comment ref="A40" authorId="1" shapeId="0" xr:uid="{0131AE21-6B99-4F17-BFC2-4D31C7AC5B7B}">
      <text>
        <r>
          <rPr>
            <b/>
            <sz val="8"/>
            <color indexed="81"/>
            <rFont val="Calibri"/>
            <family val="2"/>
          </rPr>
          <t>Entitled to overtime (approval required)</t>
        </r>
      </text>
    </comment>
    <comment ref="A41" authorId="1" shapeId="0" xr:uid="{00BD51D1-DFB5-4979-A6E5-FB65AA04C908}">
      <text>
        <r>
          <rPr>
            <b/>
            <sz val="8"/>
            <color indexed="81"/>
            <rFont val="Calibri"/>
            <family val="2"/>
          </rPr>
          <t>Entitled to overtime (approval required)</t>
        </r>
      </text>
    </comment>
    <comment ref="A42" authorId="1" shapeId="0" xr:uid="{92988F16-29AF-4BD9-9F45-F0EF268BC55B}">
      <text>
        <r>
          <rPr>
            <b/>
            <sz val="8"/>
            <color indexed="81"/>
            <rFont val="Calibri"/>
            <family val="2"/>
          </rPr>
          <t>Entitled to overtime (approval required)</t>
        </r>
      </text>
    </comment>
    <comment ref="A43" authorId="1" shapeId="0" xr:uid="{FE0CF354-3D1E-4DDB-9A33-67675F777F5D}">
      <text>
        <r>
          <rPr>
            <b/>
            <sz val="8"/>
            <color indexed="81"/>
            <rFont val="Calibri"/>
            <family val="2"/>
          </rPr>
          <t>Entitled to overtime (approval required)</t>
        </r>
      </text>
    </comment>
    <comment ref="A44" authorId="1" shapeId="0" xr:uid="{661CB0A4-4BCF-4DDA-A59B-9FC02658EF2A}">
      <text>
        <r>
          <rPr>
            <b/>
            <sz val="8"/>
            <color indexed="81"/>
            <rFont val="Calibri"/>
            <family val="2"/>
          </rPr>
          <t>Entitled to overtime (approval required)</t>
        </r>
      </text>
    </comment>
    <comment ref="AL48" authorId="0" shapeId="0" xr:uid="{5B625A19-7E16-4F35-B3AE-5258D617F95A}">
      <text>
        <r>
          <rPr>
            <b/>
            <sz val="8"/>
            <color indexed="81"/>
            <rFont val="Calibri"/>
            <family val="2"/>
          </rPr>
          <t>On call hours of the first day of the following month that are calculated to the previous day.
In December you can manually enter on call hours between 00:00 and 08:00 worked on the 1st January of the following year.
In all other months the value is calculated and shan't be overwritten.</t>
        </r>
      </text>
    </comment>
    <comment ref="AG57" authorId="2" shapeId="0" xr:uid="{81C93766-AC4E-4DCF-9316-316BD1844CB3}">
      <text>
        <r>
          <rPr>
            <b/>
            <sz val="8"/>
            <color indexed="81"/>
            <rFont val="Calibri"/>
            <family val="2"/>
          </rPr>
          <t>Please indicate with "+" or "-" if correction is plus or minus.</t>
        </r>
      </text>
    </comment>
    <comment ref="AK58" authorId="0" shapeId="0" xr:uid="{AF9BB449-09ED-431E-8A15-F5071E3BB9D0}">
      <text>
        <r>
          <rPr>
            <b/>
            <sz val="8"/>
            <color indexed="81"/>
            <rFont val="Calibri"/>
            <family val="2"/>
          </rPr>
          <t>These hours are already included in the monthly total</t>
        </r>
      </text>
    </comment>
    <comment ref="AF63" authorId="3" shapeId="0" xr:uid="{FD493FC7-DEC6-4FCA-98D7-FA2F630E0086}">
      <text>
        <r>
          <rPr>
            <b/>
            <sz val="8"/>
            <color indexed="81"/>
            <rFont val="Calibri"/>
            <family val="2"/>
          </rPr>
          <t>Supplement of 25% on ordered overtime applies up to pay category 16 according to §127 VVO.
Entitled employees choose "Yes" in field "Supplement on Overtime entitled" on worksheet "Eingabeblatt"
Pay category 17 and up has to compensate overtime 1.1.
No supplement for 50 hours &amp; Vetsuisse.</t>
        </r>
      </text>
    </comment>
    <comment ref="AG64" authorId="2" shapeId="0" xr:uid="{B6F0EB25-71BE-464C-950A-4A555EB06424}">
      <text>
        <r>
          <rPr>
            <b/>
            <sz val="8"/>
            <color indexed="81"/>
            <rFont val="Calibri"/>
            <family val="2"/>
          </rPr>
          <t>Please indicate with "+" or "-" if correction is plus or minus.</t>
        </r>
      </text>
    </comment>
    <comment ref="AI72" authorId="1" shapeId="0" xr:uid="{F5E40015-97D3-41A0-8492-D2337E4BB6AB}">
      <text>
        <r>
          <rPr>
            <b/>
            <sz val="8"/>
            <color indexed="81"/>
            <rFont val="Calibri"/>
            <family val="2"/>
          </rPr>
          <t>Number of planned night shifts</t>
        </r>
      </text>
    </comment>
    <comment ref="AI73" authorId="0" shapeId="0" xr:uid="{ED3084E9-8924-4CE1-882D-1A61401C9CB1}">
      <text>
        <r>
          <rPr>
            <b/>
            <sz val="8"/>
            <color indexed="81"/>
            <rFont val="Calibri"/>
            <family val="2"/>
          </rPr>
          <t>Number of days with night shifts.
50 hours &amp; Vetsuisse: according to out time 24:00
ServiceCenter Irchel: planned night shifts
Others: every night shift counts</t>
        </r>
      </text>
    </comment>
    <comment ref="AL76" authorId="0" shapeId="0" xr:uid="{95767DD8-1DD8-4CFE-A4EA-7A58C0815D6C}">
      <text>
        <r>
          <rPr>
            <b/>
            <sz val="8"/>
            <color indexed="81"/>
            <rFont val="Calibri"/>
            <family val="2"/>
          </rPr>
          <t>Night shift hours of the first day of the following month that are calculated to the previous day.
In December you can manually enter night shift hours between 00:00 and 06:00 worked on the 1st January of the following year.
In all other months the value is calculated and shan't be overwritten.</t>
        </r>
      </text>
    </comment>
    <comment ref="AM79" authorId="0" shapeId="0" xr:uid="{F1203C94-EED0-414F-9B4E-385A40E0F7BD}">
      <text>
        <r>
          <rPr>
            <b/>
            <sz val="8"/>
            <color indexed="81"/>
            <rFont val="Calibri"/>
            <family val="2"/>
          </rPr>
          <t>Any compensation during this month is deducted here.</t>
        </r>
      </text>
    </comment>
    <comment ref="AI82" authorId="0" shapeId="0" xr:uid="{60A31F52-91A4-40A2-A9DE-6E101E67194C}">
      <text>
        <r>
          <rPr>
            <b/>
            <sz val="8"/>
            <color indexed="81"/>
            <rFont val="Calibri"/>
            <family val="2"/>
          </rPr>
          <t>Number of Saturday/Sunday shifts</t>
        </r>
      </text>
    </comment>
    <comment ref="AG85" authorId="2" shapeId="0" xr:uid="{CA0095E1-2627-4608-8FED-E1AE2A8471E9}">
      <text>
        <r>
          <rPr>
            <b/>
            <sz val="8"/>
            <color indexed="81"/>
            <rFont val="Calibri"/>
            <family val="2"/>
          </rPr>
          <t>Please indicate with "+" or "-" if correction is plus or minus.</t>
        </r>
      </text>
    </comment>
    <comment ref="A97" authorId="2" shapeId="0" xr:uid="{A790832B-5830-470F-9E18-FA998E0A5016}">
      <text>
        <r>
          <rPr>
            <b/>
            <sz val="8"/>
            <color indexed="81"/>
            <rFont val="Calibri"/>
            <family val="2"/>
          </rPr>
          <t>Project description must be specified on the worksheet "Eingabeblatt".</t>
        </r>
      </text>
    </comment>
    <comment ref="A98" authorId="2" shapeId="0" xr:uid="{AA5E9061-ED0F-480E-BB46-BB93C89CBB6A}">
      <text>
        <r>
          <rPr>
            <b/>
            <sz val="8"/>
            <color indexed="81"/>
            <rFont val="Calibri"/>
            <family val="2"/>
          </rPr>
          <t>Project description must be specified on the worksheet "Eingabeblatt".</t>
        </r>
      </text>
    </comment>
    <comment ref="A99" authorId="2" shapeId="0" xr:uid="{7CF7C601-0A2B-4328-94D0-A1444420DF9E}">
      <text>
        <r>
          <rPr>
            <b/>
            <sz val="8"/>
            <color indexed="81"/>
            <rFont val="Calibri"/>
            <family val="2"/>
          </rPr>
          <t>Project description must be specified on the worksheet "Eingabeblatt".</t>
        </r>
      </text>
    </comment>
    <comment ref="A100" authorId="2" shapeId="0" xr:uid="{9D543CC1-F5D8-44A7-8AB7-62C43AF5A2CA}">
      <text>
        <r>
          <rPr>
            <b/>
            <sz val="8"/>
            <color indexed="81"/>
            <rFont val="Calibri"/>
            <family val="2"/>
          </rPr>
          <t>Project description must be specified on the worksheet "Eingabeblatt".</t>
        </r>
      </text>
    </comment>
    <comment ref="A101" authorId="2" shapeId="0" xr:uid="{39963F72-1BC2-4AAA-8547-3DCB4CFEA64D}">
      <text>
        <r>
          <rPr>
            <b/>
            <sz val="8"/>
            <color indexed="81"/>
            <rFont val="Calibri"/>
            <family val="2"/>
          </rPr>
          <t>Project description must be specified on the worksheet "Eingabeblatt".</t>
        </r>
      </text>
    </comment>
    <comment ref="A102" authorId="2" shapeId="0" xr:uid="{2E051E66-BEF3-428A-A2E8-FA9DD6161392}">
      <text>
        <r>
          <rPr>
            <b/>
            <sz val="8"/>
            <color indexed="81"/>
            <rFont val="Calibri"/>
            <family val="2"/>
          </rPr>
          <t>Project description must be specified on the worksheet "Eingabeblatt".</t>
        </r>
      </text>
    </comment>
    <comment ref="A103" authorId="2" shapeId="0" xr:uid="{EFB67DC3-F6CD-4EEE-A39D-346D849B6A6C}">
      <text>
        <r>
          <rPr>
            <b/>
            <sz val="8"/>
            <color indexed="81"/>
            <rFont val="Calibri"/>
            <family val="2"/>
          </rPr>
          <t>Project description must be specified on the worksheet "Eingabeblatt".</t>
        </r>
      </text>
    </comment>
    <comment ref="A104" authorId="2" shapeId="0" xr:uid="{6DC25C41-F8AC-4368-B51B-1D56D5E97045}">
      <text>
        <r>
          <rPr>
            <b/>
            <sz val="8"/>
            <color indexed="81"/>
            <rFont val="Calibri"/>
            <family val="2"/>
          </rPr>
          <t>Project description must be specified on the worksheet "Eingabeblatt".</t>
        </r>
      </text>
    </comment>
    <comment ref="A105" authorId="2" shapeId="0" xr:uid="{999E8029-7957-45F2-9938-CF270B9B494B}">
      <text>
        <r>
          <rPr>
            <b/>
            <sz val="8"/>
            <color indexed="81"/>
            <rFont val="Calibri"/>
            <family val="2"/>
          </rPr>
          <t>Project description must be specified on the worksheet "Eingabeblatt".</t>
        </r>
      </text>
    </comment>
    <comment ref="A106" authorId="2" shapeId="0" xr:uid="{2E1519C9-545E-45F1-BAC8-43E1D9884D0F}">
      <text>
        <r>
          <rPr>
            <b/>
            <sz val="8"/>
            <color indexed="81"/>
            <rFont val="Calibri"/>
            <family val="2"/>
          </rPr>
          <t>Project description must be specified on the worksheet "Eingabeblatt".</t>
        </r>
      </text>
    </comment>
    <comment ref="A107" authorId="2" shapeId="0" xr:uid="{25DA47B2-F8D8-4BE9-BDA4-B70EC3619CF3}">
      <text>
        <r>
          <rPr>
            <b/>
            <sz val="8"/>
            <color indexed="81"/>
            <rFont val="Calibri"/>
            <family val="2"/>
          </rPr>
          <t>Project description must be specified on the worksheet "Eingabeblatt".</t>
        </r>
      </text>
    </comment>
    <comment ref="A108" authorId="2" shapeId="0" xr:uid="{072A2C15-9A84-4A71-88BF-3E46602BB409}">
      <text>
        <r>
          <rPr>
            <b/>
            <sz val="8"/>
            <color indexed="81"/>
            <rFont val="Calibri"/>
            <family val="2"/>
          </rPr>
          <t>Project description must be specified on the worksheet "Eingabeblatt".</t>
        </r>
      </text>
    </comment>
    <comment ref="A109" authorId="2" shapeId="0" xr:uid="{3253379A-3154-4DFF-8F84-02A971D1F219}">
      <text>
        <r>
          <rPr>
            <b/>
            <sz val="8"/>
            <color indexed="81"/>
            <rFont val="Calibri"/>
            <family val="2"/>
          </rPr>
          <t>Project description must be specified on the worksheet "Eingabeblatt".</t>
        </r>
      </text>
    </comment>
    <comment ref="A110" authorId="2" shapeId="0" xr:uid="{86B43BCB-2874-4D76-BBFB-5E5CBEFA6A21}">
      <text>
        <r>
          <rPr>
            <b/>
            <sz val="8"/>
            <color indexed="81"/>
            <rFont val="Calibri"/>
            <family val="2"/>
          </rPr>
          <t>Project description must be specified on the worksheet "Eingabeblatt".</t>
        </r>
      </text>
    </comment>
    <comment ref="A111" authorId="2" shapeId="0" xr:uid="{63D9D089-E676-4E45-9AAA-103742673988}">
      <text>
        <r>
          <rPr>
            <b/>
            <sz val="8"/>
            <color indexed="81"/>
            <rFont val="Calibri"/>
            <family val="2"/>
          </rPr>
          <t>Project description must be specified on the worksheet "Eingabeblatt".</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Jeannette Hügli</author>
    <author>Peter von Ballmoos</author>
    <author>--</author>
    <author>Filipovic Stojan ABRAXAS INFORMATIK AG</author>
  </authors>
  <commentList>
    <comment ref="AO10" authorId="0" shapeId="0" xr:uid="{B1750166-1BB1-4C9E-9B65-13B791CE6984}">
      <text>
        <r>
          <rPr>
            <b/>
            <sz val="8"/>
            <color indexed="81"/>
            <rFont val="Calibri"/>
            <family val="2"/>
          </rPr>
          <t>Yearly balance
The first figure shows the balance by the end of the month.
The second figure shows the today's current balance by the
end of the year.</t>
        </r>
      </text>
    </comment>
    <comment ref="AJ34" authorId="1" shapeId="0" xr:uid="{16FC9E55-B3F1-4676-AD82-67B38A52CEFE}">
      <text>
        <r>
          <rPr>
            <b/>
            <sz val="8"/>
            <color indexed="81"/>
            <rFont val="Calibri"/>
            <family val="2"/>
          </rPr>
          <t>Either: on call days at weekdays / weekends and public holidays / Sum
Or: (50 hours &amp; Vetsuisse): number of on call days below 5 h / above 5 h / Sum</t>
        </r>
      </text>
    </comment>
    <comment ref="A35" authorId="1" shapeId="0" xr:uid="{8060F92C-1968-4FEF-B07D-2A60E8A04C73}">
      <text>
        <r>
          <rPr>
            <b/>
            <sz val="8"/>
            <color indexed="81"/>
            <rFont val="Calibri"/>
            <family val="2"/>
          </rPr>
          <t>Entitled to overtime (approval required)</t>
        </r>
      </text>
    </comment>
    <comment ref="A36" authorId="1" shapeId="0" xr:uid="{506738FD-2DEE-4287-9440-83B12BA818D9}">
      <text>
        <r>
          <rPr>
            <b/>
            <sz val="8"/>
            <color indexed="81"/>
            <rFont val="Calibri"/>
            <family val="2"/>
          </rPr>
          <t>Entitled to overtime (approval required)</t>
        </r>
      </text>
    </comment>
    <comment ref="A37" authorId="1" shapeId="0" xr:uid="{AAF9ED9E-520A-42FD-B0C9-9DE921A19420}">
      <text>
        <r>
          <rPr>
            <b/>
            <sz val="8"/>
            <color indexed="81"/>
            <rFont val="Calibri"/>
            <family val="2"/>
          </rPr>
          <t>Entitled to overtime (approval required)</t>
        </r>
      </text>
    </comment>
    <comment ref="A38" authorId="1" shapeId="0" xr:uid="{D4459013-D1ED-4047-8EB7-64798DA1A32C}">
      <text>
        <r>
          <rPr>
            <b/>
            <sz val="8"/>
            <color indexed="81"/>
            <rFont val="Calibri"/>
            <family val="2"/>
          </rPr>
          <t>Entitled to overtime (approval required)</t>
        </r>
      </text>
    </comment>
    <comment ref="A39" authorId="1" shapeId="0" xr:uid="{626EBCF1-0856-42ED-8C1C-1E0EEE3D9201}">
      <text>
        <r>
          <rPr>
            <b/>
            <sz val="8"/>
            <color indexed="81"/>
            <rFont val="Calibri"/>
            <family val="2"/>
          </rPr>
          <t>Entitled to overtime (approval required)</t>
        </r>
      </text>
    </comment>
    <comment ref="A40" authorId="1" shapeId="0" xr:uid="{1B4986F9-9D34-4B67-9AF9-8A659E04E8EB}">
      <text>
        <r>
          <rPr>
            <b/>
            <sz val="8"/>
            <color indexed="81"/>
            <rFont val="Calibri"/>
            <family val="2"/>
          </rPr>
          <t>Entitled to overtime (approval required)</t>
        </r>
      </text>
    </comment>
    <comment ref="A41" authorId="1" shapeId="0" xr:uid="{C5BD68F3-3A96-4B0D-94D2-769573E66D69}">
      <text>
        <r>
          <rPr>
            <b/>
            <sz val="8"/>
            <color indexed="81"/>
            <rFont val="Calibri"/>
            <family val="2"/>
          </rPr>
          <t>Entitled to overtime (approval required)</t>
        </r>
      </text>
    </comment>
    <comment ref="A42" authorId="1" shapeId="0" xr:uid="{FD0DDDA8-ED56-4B38-9C89-DB09792D182F}">
      <text>
        <r>
          <rPr>
            <b/>
            <sz val="8"/>
            <color indexed="81"/>
            <rFont val="Calibri"/>
            <family val="2"/>
          </rPr>
          <t>Entitled to overtime (approval required)</t>
        </r>
      </text>
    </comment>
    <comment ref="A43" authorId="1" shapeId="0" xr:uid="{6231B92D-2712-4260-BA4A-2E5EDF30EB0B}">
      <text>
        <r>
          <rPr>
            <b/>
            <sz val="8"/>
            <color indexed="81"/>
            <rFont val="Calibri"/>
            <family val="2"/>
          </rPr>
          <t>Entitled to overtime (approval required)</t>
        </r>
      </text>
    </comment>
    <comment ref="A44" authorId="1" shapeId="0" xr:uid="{3F88DA4D-A371-4C89-846C-FE17EC746F40}">
      <text>
        <r>
          <rPr>
            <b/>
            <sz val="8"/>
            <color indexed="81"/>
            <rFont val="Calibri"/>
            <family val="2"/>
          </rPr>
          <t>Entitled to overtime (approval required)</t>
        </r>
      </text>
    </comment>
    <comment ref="AM48" authorId="0" shapeId="0" xr:uid="{D80AB339-85CC-47F0-B10D-0749E1FEC765}">
      <text>
        <r>
          <rPr>
            <b/>
            <sz val="8"/>
            <color indexed="81"/>
            <rFont val="Calibri"/>
            <family val="2"/>
          </rPr>
          <t>On call hours of the first day of the following month that are calculated to the previous day.
In December you can manually enter on call hours between 00:00 and 08:00 worked on the 1st January of the following year.
In all other months the value is calculated and shan't be overwritten.</t>
        </r>
      </text>
    </comment>
    <comment ref="AH57" authorId="2" shapeId="0" xr:uid="{DD802D06-A227-4025-A3BC-E94DEA8FCCF0}">
      <text>
        <r>
          <rPr>
            <b/>
            <sz val="8"/>
            <color indexed="81"/>
            <rFont val="Calibri"/>
            <family val="2"/>
          </rPr>
          <t>Please indicate with "+" or "-" if correction is plus or minus.</t>
        </r>
      </text>
    </comment>
    <comment ref="AL58" authorId="0" shapeId="0" xr:uid="{2AEED6BD-E160-437D-B285-F76B756F22F8}">
      <text>
        <r>
          <rPr>
            <b/>
            <sz val="8"/>
            <color indexed="81"/>
            <rFont val="Calibri"/>
            <family val="2"/>
          </rPr>
          <t>These hours are already included in the monthly total</t>
        </r>
      </text>
    </comment>
    <comment ref="AG63" authorId="3" shapeId="0" xr:uid="{3C0CB511-1016-4861-95F3-F85730833577}">
      <text>
        <r>
          <rPr>
            <b/>
            <sz val="8"/>
            <color indexed="81"/>
            <rFont val="Calibri"/>
            <family val="2"/>
          </rPr>
          <t>Supplement of 25% on ordered overtime applies up to pay category 16 according to §127 VVO.
Entitled employees choose "Yes" in field "Supplement on Overtime entitled" on worksheet "Eingabeblatt"
Pay category 17 and up has to compensate overtime 1.1.
No supplement for 50 hours &amp; Vetsuisse.</t>
        </r>
      </text>
    </comment>
    <comment ref="AH64" authorId="2" shapeId="0" xr:uid="{24ABAD1A-CBEB-4EB2-906A-45147556A352}">
      <text>
        <r>
          <rPr>
            <b/>
            <sz val="8"/>
            <color indexed="81"/>
            <rFont val="Calibri"/>
            <family val="2"/>
          </rPr>
          <t>Please indicate with "+" or "-" if correction is plus or minus.</t>
        </r>
      </text>
    </comment>
    <comment ref="AJ72" authorId="1" shapeId="0" xr:uid="{733914BE-49E0-4D55-83BD-DA8D357152D3}">
      <text>
        <r>
          <rPr>
            <b/>
            <sz val="8"/>
            <color indexed="81"/>
            <rFont val="Calibri"/>
            <family val="2"/>
          </rPr>
          <t>Number of planned night shifts</t>
        </r>
      </text>
    </comment>
    <comment ref="AJ73" authorId="0" shapeId="0" xr:uid="{6678C9E8-C832-4088-94FC-44C8D2F00710}">
      <text>
        <r>
          <rPr>
            <b/>
            <sz val="8"/>
            <color indexed="81"/>
            <rFont val="Calibri"/>
            <family val="2"/>
          </rPr>
          <t>Number of days with night shifts.
50 hours &amp; Vetsuisse: according to out time 24:00
ServiceCenter Irchel: planned night shifts
Others: every night shift counts</t>
        </r>
      </text>
    </comment>
    <comment ref="AM76" authorId="0" shapeId="0" xr:uid="{93CE03BE-8F26-49CA-9D72-7A7AC89B9D19}">
      <text>
        <r>
          <rPr>
            <b/>
            <sz val="8"/>
            <color indexed="81"/>
            <rFont val="Calibri"/>
            <family val="2"/>
          </rPr>
          <t>Night shift hours of the first day of the following month that are calculated to the previous day.
In December you can manually enter night shift hours between 00:00 and 06:00 worked on the 1st January of the following year.
In all other months the value is calculated and shan't be overwritten.</t>
        </r>
      </text>
    </comment>
    <comment ref="AN79" authorId="0" shapeId="0" xr:uid="{C475E72F-047D-4B1A-A1CA-4AE1DFACF49B}">
      <text>
        <r>
          <rPr>
            <b/>
            <sz val="8"/>
            <color indexed="81"/>
            <rFont val="Calibri"/>
            <family val="2"/>
          </rPr>
          <t>Any compensation during this month is deducted here.</t>
        </r>
      </text>
    </comment>
    <comment ref="AJ82" authorId="0" shapeId="0" xr:uid="{08A8695A-0985-4852-AD67-C93F0508EBDB}">
      <text>
        <r>
          <rPr>
            <b/>
            <sz val="8"/>
            <color indexed="81"/>
            <rFont val="Calibri"/>
            <family val="2"/>
          </rPr>
          <t>Number of Saturday/Sunday shifts</t>
        </r>
      </text>
    </comment>
    <comment ref="AH85" authorId="2" shapeId="0" xr:uid="{95B2C59D-613B-4D22-A23D-E222A44D81F5}">
      <text>
        <r>
          <rPr>
            <b/>
            <sz val="8"/>
            <color indexed="81"/>
            <rFont val="Calibri"/>
            <family val="2"/>
          </rPr>
          <t>Please indicate with "+" or "-" if correction is plus or minus.</t>
        </r>
      </text>
    </comment>
    <comment ref="A97" authorId="2" shapeId="0" xr:uid="{053800DB-319B-4B39-9999-B83E705115F4}">
      <text>
        <r>
          <rPr>
            <b/>
            <sz val="8"/>
            <color indexed="81"/>
            <rFont val="Calibri"/>
            <family val="2"/>
          </rPr>
          <t>Project description must be specified on the worksheet "Eingabeblatt".</t>
        </r>
      </text>
    </comment>
    <comment ref="A98" authorId="2" shapeId="0" xr:uid="{6ECD0D2D-89D9-4A01-AEE7-3268C148C896}">
      <text>
        <r>
          <rPr>
            <b/>
            <sz val="8"/>
            <color indexed="81"/>
            <rFont val="Calibri"/>
            <family val="2"/>
          </rPr>
          <t>Project description must be specified on the worksheet "Eingabeblatt".</t>
        </r>
      </text>
    </comment>
    <comment ref="A99" authorId="2" shapeId="0" xr:uid="{EFB4DEC4-060D-4E6E-84A7-C27485D7A000}">
      <text>
        <r>
          <rPr>
            <b/>
            <sz val="8"/>
            <color indexed="81"/>
            <rFont val="Calibri"/>
            <family val="2"/>
          </rPr>
          <t>Project description must be specified on the worksheet "Eingabeblatt".</t>
        </r>
      </text>
    </comment>
    <comment ref="A100" authorId="2" shapeId="0" xr:uid="{6A29A731-199E-403C-8327-862459DE2EFC}">
      <text>
        <r>
          <rPr>
            <b/>
            <sz val="8"/>
            <color indexed="81"/>
            <rFont val="Calibri"/>
            <family val="2"/>
          </rPr>
          <t>Project description must be specified on the worksheet "Eingabeblatt".</t>
        </r>
      </text>
    </comment>
    <comment ref="A101" authorId="2" shapeId="0" xr:uid="{B4592B45-D4E2-42F3-B7D4-16B439335C5D}">
      <text>
        <r>
          <rPr>
            <b/>
            <sz val="8"/>
            <color indexed="81"/>
            <rFont val="Calibri"/>
            <family val="2"/>
          </rPr>
          <t>Project description must be specified on the worksheet "Eingabeblatt".</t>
        </r>
      </text>
    </comment>
    <comment ref="A102" authorId="2" shapeId="0" xr:uid="{51F0930E-C71D-443A-8CB6-A365D389F282}">
      <text>
        <r>
          <rPr>
            <b/>
            <sz val="8"/>
            <color indexed="81"/>
            <rFont val="Calibri"/>
            <family val="2"/>
          </rPr>
          <t>Project description must be specified on the worksheet "Eingabeblatt".</t>
        </r>
      </text>
    </comment>
    <comment ref="A103" authorId="2" shapeId="0" xr:uid="{6723B0F9-EC90-4AC6-BA8E-A1C08B949BA6}">
      <text>
        <r>
          <rPr>
            <b/>
            <sz val="8"/>
            <color indexed="81"/>
            <rFont val="Calibri"/>
            <family val="2"/>
          </rPr>
          <t>Project description must be specified on the worksheet "Eingabeblatt".</t>
        </r>
      </text>
    </comment>
    <comment ref="A104" authorId="2" shapeId="0" xr:uid="{1FAEDC7E-44CB-42FA-87C4-49F0F9EF702E}">
      <text>
        <r>
          <rPr>
            <b/>
            <sz val="8"/>
            <color indexed="81"/>
            <rFont val="Calibri"/>
            <family val="2"/>
          </rPr>
          <t>Project description must be specified on the worksheet "Eingabeblatt".</t>
        </r>
      </text>
    </comment>
    <comment ref="A105" authorId="2" shapeId="0" xr:uid="{C4620774-F026-43F9-B58D-4C45C2D2949D}">
      <text>
        <r>
          <rPr>
            <b/>
            <sz val="8"/>
            <color indexed="81"/>
            <rFont val="Calibri"/>
            <family val="2"/>
          </rPr>
          <t>Project description must be specified on the worksheet "Eingabeblatt".</t>
        </r>
      </text>
    </comment>
    <comment ref="A106" authorId="2" shapeId="0" xr:uid="{5FC8D0C4-778B-4F71-975B-2D2C048B726D}">
      <text>
        <r>
          <rPr>
            <b/>
            <sz val="8"/>
            <color indexed="81"/>
            <rFont val="Calibri"/>
            <family val="2"/>
          </rPr>
          <t>Project description must be specified on the worksheet "Eingabeblatt".</t>
        </r>
      </text>
    </comment>
    <comment ref="A107" authorId="2" shapeId="0" xr:uid="{9C9336E7-4E1D-4519-B103-752B378EBA69}">
      <text>
        <r>
          <rPr>
            <b/>
            <sz val="8"/>
            <color indexed="81"/>
            <rFont val="Calibri"/>
            <family val="2"/>
          </rPr>
          <t>Project description must be specified on the worksheet "Eingabeblatt".</t>
        </r>
      </text>
    </comment>
    <comment ref="A108" authorId="2" shapeId="0" xr:uid="{BBCEA78E-C848-4574-BEAB-217DB1DF7EFA}">
      <text>
        <r>
          <rPr>
            <b/>
            <sz val="8"/>
            <color indexed="81"/>
            <rFont val="Calibri"/>
            <family val="2"/>
          </rPr>
          <t>Project description must be specified on the worksheet "Eingabeblatt".</t>
        </r>
      </text>
    </comment>
    <comment ref="A109" authorId="2" shapeId="0" xr:uid="{F019F500-4BEC-41BB-B3A9-8C96CB7AC5F2}">
      <text>
        <r>
          <rPr>
            <b/>
            <sz val="8"/>
            <color indexed="81"/>
            <rFont val="Calibri"/>
            <family val="2"/>
          </rPr>
          <t>Project description must be specified on the worksheet "Eingabeblatt".</t>
        </r>
      </text>
    </comment>
    <comment ref="A110" authorId="2" shapeId="0" xr:uid="{FE9964EA-8678-4D71-A6CD-15A6308C7FE4}">
      <text>
        <r>
          <rPr>
            <b/>
            <sz val="8"/>
            <color indexed="81"/>
            <rFont val="Calibri"/>
            <family val="2"/>
          </rPr>
          <t>Project description must be specified on the worksheet "Eingabeblatt".</t>
        </r>
      </text>
    </comment>
    <comment ref="A111" authorId="2" shapeId="0" xr:uid="{3D04C0EC-D216-46D3-8067-2C655783FD6B}">
      <text>
        <r>
          <rPr>
            <b/>
            <sz val="8"/>
            <color indexed="81"/>
            <rFont val="Calibri"/>
            <family val="2"/>
          </rPr>
          <t>Project description must be specified on the worksheet "Eingabeblatt".</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Peter von Ballmoos</author>
  </authors>
  <commentList>
    <comment ref="R10" authorId="0" shapeId="0" xr:uid="{00000000-0006-0000-0200-000001000000}">
      <text>
        <r>
          <rPr>
            <b/>
            <sz val="8"/>
            <color indexed="81"/>
            <rFont val="Calibri"/>
            <family val="2"/>
          </rPr>
          <t>Either: on call days at weekdays / weekends and public holidays / Sum
Or: (50 hours &amp; Vetsuisse): number of on call days below 5 h / above 5 h / Sum</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Jeannette Hügli</author>
  </authors>
  <commentList>
    <comment ref="A31" authorId="0" shapeId="0" xr:uid="{00000000-0006-0000-0300-000001000000}">
      <text>
        <r>
          <rPr>
            <b/>
            <sz val="8"/>
            <color indexed="81"/>
            <rFont val="Calibri"/>
            <family val="2"/>
          </rPr>
          <t>Full Project Name: relief time for bodies represented in the Extended Board of the University</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Jeannette Hügli</author>
  </authors>
  <commentList>
    <comment ref="A8" authorId="0" shapeId="0" xr:uid="{00000000-0006-0000-0A00-000001000000}">
      <text>
        <r>
          <rPr>
            <b/>
            <sz val="8"/>
            <color indexed="81"/>
            <rFont val="Calibri"/>
            <family val="2"/>
          </rPr>
          <t>Auf die Bezeichnung Vetsuisse gibt es in der Anwendung Abfragen. Deshalb bitte nicht anpassen.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Jeannette Hügli</author>
    <author>Peter von Ballmoos</author>
    <author>--</author>
    <author>Filipovic Stojan ABRAXAS INFORMATIK AG</author>
  </authors>
  <commentList>
    <comment ref="AO10" authorId="0" shapeId="0" xr:uid="{346798C4-E08D-406A-A718-EB908392D678}">
      <text>
        <r>
          <rPr>
            <b/>
            <sz val="8"/>
            <color indexed="81"/>
            <rFont val="Calibri"/>
            <family val="2"/>
          </rPr>
          <t>Yearly balance
The first figure shows the balance by the end of the month.
The second figure shows the today's current balance by the
end of the year.</t>
        </r>
      </text>
    </comment>
    <comment ref="AJ34" authorId="1" shapeId="0" xr:uid="{2592ACC3-067A-4D50-AE8A-CB3F41A8ACF0}">
      <text>
        <r>
          <rPr>
            <b/>
            <sz val="8"/>
            <color indexed="81"/>
            <rFont val="Calibri"/>
            <family val="2"/>
          </rPr>
          <t>Either: on call days at weekdays / weekends and public holidays / Sum
Or: (50 hours &amp; Vetsuisse): number of on call days below 5 h / above 5 h / Sum</t>
        </r>
      </text>
    </comment>
    <comment ref="A35" authorId="1" shapeId="0" xr:uid="{56AC1651-59EA-4379-9C74-1E78C27337C7}">
      <text>
        <r>
          <rPr>
            <b/>
            <sz val="8"/>
            <color indexed="81"/>
            <rFont val="Calibri"/>
            <family val="2"/>
          </rPr>
          <t>Entitled to overtime (approval required)</t>
        </r>
      </text>
    </comment>
    <comment ref="A36" authorId="1" shapeId="0" xr:uid="{C5C5D23E-72D3-4AB0-B1FD-35760F27CB6D}">
      <text>
        <r>
          <rPr>
            <b/>
            <sz val="8"/>
            <color indexed="81"/>
            <rFont val="Calibri"/>
            <family val="2"/>
          </rPr>
          <t>Entitled to overtime (approval required)</t>
        </r>
      </text>
    </comment>
    <comment ref="A37" authorId="1" shapeId="0" xr:uid="{29D75AA4-E31A-494F-BBF6-ED458EA42727}">
      <text>
        <r>
          <rPr>
            <b/>
            <sz val="8"/>
            <color indexed="81"/>
            <rFont val="Calibri"/>
            <family val="2"/>
          </rPr>
          <t>Entitled to overtime (approval required)</t>
        </r>
      </text>
    </comment>
    <comment ref="A38" authorId="1" shapeId="0" xr:uid="{53390097-3120-4934-9E37-42E88CA47D2D}">
      <text>
        <r>
          <rPr>
            <b/>
            <sz val="8"/>
            <color indexed="81"/>
            <rFont val="Calibri"/>
            <family val="2"/>
          </rPr>
          <t>Entitled to overtime (approval required)</t>
        </r>
      </text>
    </comment>
    <comment ref="A39" authorId="1" shapeId="0" xr:uid="{4D1F5ACB-9316-4222-8450-902B90BE699A}">
      <text>
        <r>
          <rPr>
            <b/>
            <sz val="8"/>
            <color indexed="81"/>
            <rFont val="Calibri"/>
            <family val="2"/>
          </rPr>
          <t>Entitled to overtime (approval required)</t>
        </r>
      </text>
    </comment>
    <comment ref="A40" authorId="1" shapeId="0" xr:uid="{025E83FC-F3F6-4FE1-AA89-38D536F72E8D}">
      <text>
        <r>
          <rPr>
            <b/>
            <sz val="8"/>
            <color indexed="81"/>
            <rFont val="Calibri"/>
            <family val="2"/>
          </rPr>
          <t>Entitled to overtime (approval required)</t>
        </r>
      </text>
    </comment>
    <comment ref="A41" authorId="1" shapeId="0" xr:uid="{2A9434FE-198A-4883-A629-1FBCE1A3A644}">
      <text>
        <r>
          <rPr>
            <b/>
            <sz val="8"/>
            <color indexed="81"/>
            <rFont val="Calibri"/>
            <family val="2"/>
          </rPr>
          <t>Entitled to overtime (approval required)</t>
        </r>
      </text>
    </comment>
    <comment ref="A42" authorId="1" shapeId="0" xr:uid="{AECF1E1B-3714-427F-B593-AEEBD3EB4227}">
      <text>
        <r>
          <rPr>
            <b/>
            <sz val="8"/>
            <color indexed="81"/>
            <rFont val="Calibri"/>
            <family val="2"/>
          </rPr>
          <t>Entitled to overtime (approval required)</t>
        </r>
      </text>
    </comment>
    <comment ref="A43" authorId="1" shapeId="0" xr:uid="{6F70911F-D585-4E3B-ACB2-57E412EC1F8D}">
      <text>
        <r>
          <rPr>
            <b/>
            <sz val="8"/>
            <color indexed="81"/>
            <rFont val="Calibri"/>
            <family val="2"/>
          </rPr>
          <t>Entitled to overtime (approval required)</t>
        </r>
      </text>
    </comment>
    <comment ref="A44" authorId="1" shapeId="0" xr:uid="{129E3454-8F84-4290-A38F-44B34416419A}">
      <text>
        <r>
          <rPr>
            <b/>
            <sz val="8"/>
            <color indexed="81"/>
            <rFont val="Calibri"/>
            <family val="2"/>
          </rPr>
          <t>Entitled to overtime (approval required)</t>
        </r>
      </text>
    </comment>
    <comment ref="AM48" authorId="0" shapeId="0" xr:uid="{818C76D8-743A-43DD-B998-9CD5DBB959FC}">
      <text>
        <r>
          <rPr>
            <b/>
            <sz val="8"/>
            <color indexed="81"/>
            <rFont val="Calibri"/>
            <family val="2"/>
          </rPr>
          <t>On call hours of the first day of the following month that are calculated to the previous day.
In December you can manually enter on call hours between 00:00 and 08:00 worked on the 1st January of the following year.
In all other months the value is calculated and shan't be overwritten.</t>
        </r>
      </text>
    </comment>
    <comment ref="AH57" authorId="2" shapeId="0" xr:uid="{E8451AFB-96CD-4EC1-BABB-4DDDDE4B9ADE}">
      <text>
        <r>
          <rPr>
            <b/>
            <sz val="8"/>
            <color indexed="81"/>
            <rFont val="Calibri"/>
            <family val="2"/>
          </rPr>
          <t>Please indicate with "+" or "-" if correction is plus or minus.</t>
        </r>
      </text>
    </comment>
    <comment ref="AL58" authorId="0" shapeId="0" xr:uid="{394438C4-4803-4858-A7BF-0E5B7C242009}">
      <text>
        <r>
          <rPr>
            <b/>
            <sz val="8"/>
            <color indexed="81"/>
            <rFont val="Calibri"/>
            <family val="2"/>
          </rPr>
          <t>These hours are already included in the monthly total</t>
        </r>
      </text>
    </comment>
    <comment ref="AG63" authorId="3" shapeId="0" xr:uid="{A2F1D9C0-629D-43AF-B6C5-297DE2BFB1FE}">
      <text>
        <r>
          <rPr>
            <b/>
            <sz val="8"/>
            <color indexed="81"/>
            <rFont val="Calibri"/>
            <family val="2"/>
          </rPr>
          <t>Supplement of 25% on ordered overtime applies up to pay category 16 according to §127 VVO.
Entitled employees choose "Yes" in field "Supplement on Overtime entitled" on worksheet "Eingabeblatt"
Pay category 17 and up has to compensate overtime 1.1.
No supplement for 50 hours &amp; Vetsuisse.</t>
        </r>
      </text>
    </comment>
    <comment ref="AH64" authorId="2" shapeId="0" xr:uid="{62F23BBB-248A-462E-9EEE-A316113397FC}">
      <text>
        <r>
          <rPr>
            <b/>
            <sz val="8"/>
            <color indexed="81"/>
            <rFont val="Calibri"/>
            <family val="2"/>
          </rPr>
          <t>Please indicate with "+" or "-" if correction is plus or minus.</t>
        </r>
      </text>
    </comment>
    <comment ref="AJ72" authorId="1" shapeId="0" xr:uid="{272C74F4-C4E5-40B4-9D7D-1709DBBE0109}">
      <text>
        <r>
          <rPr>
            <b/>
            <sz val="8"/>
            <color indexed="81"/>
            <rFont val="Calibri"/>
            <family val="2"/>
          </rPr>
          <t>Number of planned night shifts</t>
        </r>
      </text>
    </comment>
    <comment ref="AJ73" authorId="0" shapeId="0" xr:uid="{4F530649-D639-4ACA-A93D-E4F79840B917}">
      <text>
        <r>
          <rPr>
            <b/>
            <sz val="8"/>
            <color indexed="81"/>
            <rFont val="Calibri"/>
            <family val="2"/>
          </rPr>
          <t>Number of days with night shifts.
50 hours &amp; Vetsuisse: according to out time 24:00
ServiceCenter Irchel: planned night shifts
Others: every night shift counts</t>
        </r>
      </text>
    </comment>
    <comment ref="AM76" authorId="0" shapeId="0" xr:uid="{C997C61E-E6A9-4363-A3D4-4F1851FD7DEB}">
      <text>
        <r>
          <rPr>
            <b/>
            <sz val="8"/>
            <color indexed="81"/>
            <rFont val="Calibri"/>
            <family val="2"/>
          </rPr>
          <t>Night shift hours of the first day of the following month that are calculated to the previous day.
In December you can manually enter night shift hours between 00:00 and 06:00 worked on the 1st January of the following year.
In all other months the value is calculated and shan't be overwritten.</t>
        </r>
      </text>
    </comment>
    <comment ref="AN79" authorId="0" shapeId="0" xr:uid="{977B2817-6BB0-4277-A6C1-8F10BCCA9E9E}">
      <text>
        <r>
          <rPr>
            <b/>
            <sz val="8"/>
            <color indexed="81"/>
            <rFont val="Calibri"/>
            <family val="2"/>
          </rPr>
          <t>Any compensation during this month is deducted here.</t>
        </r>
      </text>
    </comment>
    <comment ref="AJ82" authorId="0" shapeId="0" xr:uid="{71825AFD-3F7A-48C0-8E2E-3EDC945612E8}">
      <text>
        <r>
          <rPr>
            <b/>
            <sz val="8"/>
            <color indexed="81"/>
            <rFont val="Calibri"/>
            <family val="2"/>
          </rPr>
          <t>Number of Saturday/Sunday shifts</t>
        </r>
      </text>
    </comment>
    <comment ref="AH85" authorId="2" shapeId="0" xr:uid="{D700B4D3-6D62-4B6A-AA0D-90B2057D66E9}">
      <text>
        <r>
          <rPr>
            <b/>
            <sz val="8"/>
            <color indexed="81"/>
            <rFont val="Calibri"/>
            <family val="2"/>
          </rPr>
          <t>Please indicate with "+" or "-" if correction is plus or minus.</t>
        </r>
      </text>
    </comment>
    <comment ref="A97" authorId="2" shapeId="0" xr:uid="{E9289CB3-D453-412B-9EFE-AF3A4502F58C}">
      <text>
        <r>
          <rPr>
            <b/>
            <sz val="8"/>
            <color indexed="81"/>
            <rFont val="Calibri"/>
            <family val="2"/>
          </rPr>
          <t>Project description must be specified on the worksheet "Eingabeblatt".</t>
        </r>
      </text>
    </comment>
    <comment ref="A98" authorId="2" shapeId="0" xr:uid="{F6086BEF-E075-4BCD-A645-7BFDCFDF3934}">
      <text>
        <r>
          <rPr>
            <b/>
            <sz val="8"/>
            <color indexed="81"/>
            <rFont val="Calibri"/>
            <family val="2"/>
          </rPr>
          <t>Project description must be specified on the worksheet "Eingabeblatt".</t>
        </r>
      </text>
    </comment>
    <comment ref="A99" authorId="2" shapeId="0" xr:uid="{C8B594AB-39AC-4B91-9BF9-8E4EEAEEB9B7}">
      <text>
        <r>
          <rPr>
            <b/>
            <sz val="8"/>
            <color indexed="81"/>
            <rFont val="Calibri"/>
            <family val="2"/>
          </rPr>
          <t>Project description must be specified on the worksheet "Eingabeblatt".</t>
        </r>
      </text>
    </comment>
    <comment ref="A100" authorId="2" shapeId="0" xr:uid="{FCB82261-7193-450F-BCC6-7A921EA282B1}">
      <text>
        <r>
          <rPr>
            <b/>
            <sz val="8"/>
            <color indexed="81"/>
            <rFont val="Calibri"/>
            <family val="2"/>
          </rPr>
          <t>Project description must be specified on the worksheet "Eingabeblatt".</t>
        </r>
      </text>
    </comment>
    <comment ref="A101" authorId="2" shapeId="0" xr:uid="{9FE713C5-9A76-49A9-B8C2-2670BC9A27F9}">
      <text>
        <r>
          <rPr>
            <b/>
            <sz val="8"/>
            <color indexed="81"/>
            <rFont val="Calibri"/>
            <family val="2"/>
          </rPr>
          <t>Project description must be specified on the worksheet "Eingabeblatt".</t>
        </r>
      </text>
    </comment>
    <comment ref="A102" authorId="2" shapeId="0" xr:uid="{58FF62AB-4CF9-49D4-B727-E09BB8AFFD5C}">
      <text>
        <r>
          <rPr>
            <b/>
            <sz val="8"/>
            <color indexed="81"/>
            <rFont val="Calibri"/>
            <family val="2"/>
          </rPr>
          <t>Project description must be specified on the worksheet "Eingabeblatt".</t>
        </r>
      </text>
    </comment>
    <comment ref="A103" authorId="2" shapeId="0" xr:uid="{8A10B0AC-22F7-4570-B5AD-BC45E6CB885E}">
      <text>
        <r>
          <rPr>
            <b/>
            <sz val="8"/>
            <color indexed="81"/>
            <rFont val="Calibri"/>
            <family val="2"/>
          </rPr>
          <t>Project description must be specified on the worksheet "Eingabeblatt".</t>
        </r>
      </text>
    </comment>
    <comment ref="A104" authorId="2" shapeId="0" xr:uid="{29CFB158-8436-4F6F-95EE-DA43895E0962}">
      <text>
        <r>
          <rPr>
            <b/>
            <sz val="8"/>
            <color indexed="81"/>
            <rFont val="Calibri"/>
            <family val="2"/>
          </rPr>
          <t>Project description must be specified on the worksheet "Eingabeblatt".</t>
        </r>
      </text>
    </comment>
    <comment ref="A105" authorId="2" shapeId="0" xr:uid="{23720E0A-D0FB-4E36-AAE3-810332BC6939}">
      <text>
        <r>
          <rPr>
            <b/>
            <sz val="8"/>
            <color indexed="81"/>
            <rFont val="Calibri"/>
            <family val="2"/>
          </rPr>
          <t>Project description must be specified on the worksheet "Eingabeblatt".</t>
        </r>
      </text>
    </comment>
    <comment ref="A106" authorId="2" shapeId="0" xr:uid="{5F3CD977-22F7-4DBD-95A1-B5387A2434F2}">
      <text>
        <r>
          <rPr>
            <b/>
            <sz val="8"/>
            <color indexed="81"/>
            <rFont val="Calibri"/>
            <family val="2"/>
          </rPr>
          <t>Project description must be specified on the worksheet "Eingabeblatt".</t>
        </r>
      </text>
    </comment>
    <comment ref="A107" authorId="2" shapeId="0" xr:uid="{A218C815-D540-4D20-AFC6-00A3A72AAA91}">
      <text>
        <r>
          <rPr>
            <b/>
            <sz val="8"/>
            <color indexed="81"/>
            <rFont val="Calibri"/>
            <family val="2"/>
          </rPr>
          <t>Project description must be specified on the worksheet "Eingabeblatt".</t>
        </r>
      </text>
    </comment>
    <comment ref="A108" authorId="2" shapeId="0" xr:uid="{3E48664B-EA11-440E-99B8-8DB8135A4F10}">
      <text>
        <r>
          <rPr>
            <b/>
            <sz val="8"/>
            <color indexed="81"/>
            <rFont val="Calibri"/>
            <family val="2"/>
          </rPr>
          <t>Project description must be specified on the worksheet "Eingabeblatt".</t>
        </r>
      </text>
    </comment>
    <comment ref="A109" authorId="2" shapeId="0" xr:uid="{756D25CA-09C6-4CCC-8670-BD27243F0047}">
      <text>
        <r>
          <rPr>
            <b/>
            <sz val="8"/>
            <color indexed="81"/>
            <rFont val="Calibri"/>
            <family val="2"/>
          </rPr>
          <t>Project description must be specified on the worksheet "Eingabeblatt".</t>
        </r>
      </text>
    </comment>
    <comment ref="A110" authorId="2" shapeId="0" xr:uid="{8712734E-310F-4090-AD1C-32B49C294F41}">
      <text>
        <r>
          <rPr>
            <b/>
            <sz val="8"/>
            <color indexed="81"/>
            <rFont val="Calibri"/>
            <family val="2"/>
          </rPr>
          <t>Project description must be specified on the worksheet "Eingabeblatt".</t>
        </r>
      </text>
    </comment>
    <comment ref="A111" authorId="2" shapeId="0" xr:uid="{8FE1E737-DF5B-4F74-A680-ED95FC20701B}">
      <text>
        <r>
          <rPr>
            <b/>
            <sz val="8"/>
            <color indexed="81"/>
            <rFont val="Calibri"/>
            <family val="2"/>
          </rPr>
          <t>Project description must be specified on the worksheet "Eingabeblatt".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Jeannette Hügli</author>
    <author>Peter von Ballmoos</author>
    <author>--</author>
    <author>Filipovic Stojan ABRAXAS INFORMATIK AG</author>
  </authors>
  <commentList>
    <comment ref="AM10" authorId="0" shapeId="0" xr:uid="{59A9A890-7C46-4C04-87B6-F130FC84041B}">
      <text>
        <r>
          <rPr>
            <b/>
            <sz val="8"/>
            <color indexed="81"/>
            <rFont val="Calibri"/>
            <family val="2"/>
          </rPr>
          <t>Yearly balance
The first figure shows the balance by the end of the month.
The second figure shows the today's current balance by the
end of the year.</t>
        </r>
      </text>
    </comment>
    <comment ref="AH34" authorId="1" shapeId="0" xr:uid="{65AEB904-F5B9-426F-A662-C875CAA6E261}">
      <text>
        <r>
          <rPr>
            <b/>
            <sz val="8"/>
            <color indexed="81"/>
            <rFont val="Calibri"/>
            <family val="2"/>
          </rPr>
          <t>Either: on call days at weekdays / weekends and public holidays / Sum
Or: (50 hours &amp; Vetsuisse): number of on call days below 5 h / above 5 h / Sum</t>
        </r>
      </text>
    </comment>
    <comment ref="A35" authorId="1" shapeId="0" xr:uid="{142D064D-0B7E-4755-BA35-484C1C7D31C4}">
      <text>
        <r>
          <rPr>
            <b/>
            <sz val="8"/>
            <color indexed="81"/>
            <rFont val="Calibri"/>
            <family val="2"/>
          </rPr>
          <t>Entitled to overtime (approval required)</t>
        </r>
      </text>
    </comment>
    <comment ref="A36" authorId="1" shapeId="0" xr:uid="{911BA579-5FBA-4C97-B97C-58C9BC97CA2D}">
      <text>
        <r>
          <rPr>
            <b/>
            <sz val="8"/>
            <color indexed="81"/>
            <rFont val="Calibri"/>
            <family val="2"/>
          </rPr>
          <t>Entitled to overtime (approval required)</t>
        </r>
      </text>
    </comment>
    <comment ref="A37" authorId="1" shapeId="0" xr:uid="{438A8C6D-003B-42C6-94F0-5482FCDD712A}">
      <text>
        <r>
          <rPr>
            <b/>
            <sz val="8"/>
            <color indexed="81"/>
            <rFont val="Calibri"/>
            <family val="2"/>
          </rPr>
          <t>Entitled to overtime (approval required)</t>
        </r>
      </text>
    </comment>
    <comment ref="A38" authorId="1" shapeId="0" xr:uid="{EB0B4F5E-69FE-4A9F-9FDC-3F319DD9201B}">
      <text>
        <r>
          <rPr>
            <b/>
            <sz val="8"/>
            <color indexed="81"/>
            <rFont val="Calibri"/>
            <family val="2"/>
          </rPr>
          <t>Entitled to overtime (approval required)</t>
        </r>
      </text>
    </comment>
    <comment ref="A39" authorId="1" shapeId="0" xr:uid="{93FB1C16-E657-4C4E-B3E1-E12BFB4FF835}">
      <text>
        <r>
          <rPr>
            <b/>
            <sz val="8"/>
            <color indexed="81"/>
            <rFont val="Calibri"/>
            <family val="2"/>
          </rPr>
          <t>Entitled to overtime (approval required)</t>
        </r>
      </text>
    </comment>
    <comment ref="A40" authorId="1" shapeId="0" xr:uid="{EF4D67ED-D173-4A6D-A072-7653C4BE24EE}">
      <text>
        <r>
          <rPr>
            <b/>
            <sz val="8"/>
            <color indexed="81"/>
            <rFont val="Calibri"/>
            <family val="2"/>
          </rPr>
          <t>Entitled to overtime (approval required)</t>
        </r>
      </text>
    </comment>
    <comment ref="A41" authorId="1" shapeId="0" xr:uid="{5CAB8D43-C993-4DA2-A65D-DEB32C63A65E}">
      <text>
        <r>
          <rPr>
            <b/>
            <sz val="8"/>
            <color indexed="81"/>
            <rFont val="Calibri"/>
            <family val="2"/>
          </rPr>
          <t>Entitled to overtime (approval required)</t>
        </r>
      </text>
    </comment>
    <comment ref="A42" authorId="1" shapeId="0" xr:uid="{9576F7B9-3835-4C26-BA9D-7DC012F7C642}">
      <text>
        <r>
          <rPr>
            <b/>
            <sz val="8"/>
            <color indexed="81"/>
            <rFont val="Calibri"/>
            <family val="2"/>
          </rPr>
          <t>Entitled to overtime (approval required)</t>
        </r>
      </text>
    </comment>
    <comment ref="A43" authorId="1" shapeId="0" xr:uid="{C9977872-B66B-4301-98A7-78116D1B1709}">
      <text>
        <r>
          <rPr>
            <b/>
            <sz val="8"/>
            <color indexed="81"/>
            <rFont val="Calibri"/>
            <family val="2"/>
          </rPr>
          <t>Entitled to overtime (approval required)</t>
        </r>
      </text>
    </comment>
    <comment ref="A44" authorId="1" shapeId="0" xr:uid="{707BCFFF-B6C2-48BF-8868-AA94205AE9DC}">
      <text>
        <r>
          <rPr>
            <b/>
            <sz val="8"/>
            <color indexed="81"/>
            <rFont val="Calibri"/>
            <family val="2"/>
          </rPr>
          <t>Entitled to overtime (approval required)</t>
        </r>
      </text>
    </comment>
    <comment ref="AK48" authorId="0" shapeId="0" xr:uid="{8F1CADEA-3915-463C-9D73-5254B109E44D}">
      <text>
        <r>
          <rPr>
            <b/>
            <sz val="8"/>
            <color indexed="81"/>
            <rFont val="Calibri"/>
            <family val="2"/>
          </rPr>
          <t>On call hours of the first day of the following month that are calculated to the previous day.
In December you can manually enter on call hours between 00:00 and 08:00 worked on the 1st January of the following year.
In all other months the value is calculated and shan't be overwritten.</t>
        </r>
      </text>
    </comment>
    <comment ref="AF57" authorId="2" shapeId="0" xr:uid="{1533AE86-E9BC-4388-A006-B44762964A39}">
      <text>
        <r>
          <rPr>
            <b/>
            <sz val="8"/>
            <color indexed="81"/>
            <rFont val="Calibri"/>
            <family val="2"/>
          </rPr>
          <t>Please indicate with "+" or "-" if correction is plus or minus.</t>
        </r>
      </text>
    </comment>
    <comment ref="AJ58" authorId="0" shapeId="0" xr:uid="{01BE5B92-3B96-48C8-9AF9-5FFA8123FFAD}">
      <text>
        <r>
          <rPr>
            <b/>
            <sz val="8"/>
            <color indexed="81"/>
            <rFont val="Calibri"/>
            <family val="2"/>
          </rPr>
          <t>These hours are already included in the monthly total</t>
        </r>
      </text>
    </comment>
    <comment ref="AE63" authorId="3" shapeId="0" xr:uid="{21FC34B0-1556-4848-8A38-0AA1E7C8D9B1}">
      <text>
        <r>
          <rPr>
            <b/>
            <sz val="8"/>
            <color indexed="81"/>
            <rFont val="Calibri"/>
            <family val="2"/>
          </rPr>
          <t>Supplement of 25% on ordered overtime applies up to pay category 16 according to §127 VVO.
Entitled employees choose "Yes" in field "Supplement on Overtime entitled" on worksheet "Eingabeblatt"
Pay category 17 and up has to compensate overtime 1.1.
No supplement for 50 hours &amp; Vetsuisse.</t>
        </r>
      </text>
    </comment>
    <comment ref="AF64" authorId="2" shapeId="0" xr:uid="{01932BFF-E5D9-4E50-A84F-A2BFB0B1A559}">
      <text>
        <r>
          <rPr>
            <b/>
            <sz val="8"/>
            <color indexed="81"/>
            <rFont val="Calibri"/>
            <family val="2"/>
          </rPr>
          <t>Please indicate with "+" or "-" if correction is plus or minus.</t>
        </r>
      </text>
    </comment>
    <comment ref="AH72" authorId="1" shapeId="0" xr:uid="{13B77FEB-728E-45F4-97AB-1884BFE4EB84}">
      <text>
        <r>
          <rPr>
            <b/>
            <sz val="8"/>
            <color indexed="81"/>
            <rFont val="Calibri"/>
            <family val="2"/>
          </rPr>
          <t>Number of planned night shifts</t>
        </r>
      </text>
    </comment>
    <comment ref="AH73" authorId="0" shapeId="0" xr:uid="{3849AE3F-A2E1-43BB-A01D-134159A069CD}">
      <text>
        <r>
          <rPr>
            <b/>
            <sz val="8"/>
            <color indexed="81"/>
            <rFont val="Calibri"/>
            <family val="2"/>
          </rPr>
          <t>Number of days with night shifts.
50 hours &amp; Vetsuisse: according to out time 24:00
ServiceCenter Irchel: planned night shifts
Others: every night shift counts</t>
        </r>
      </text>
    </comment>
    <comment ref="AK76" authorId="0" shapeId="0" xr:uid="{3CD4F2BD-69E9-4517-A376-2B98297E3ACF}">
      <text>
        <r>
          <rPr>
            <b/>
            <sz val="8"/>
            <color indexed="81"/>
            <rFont val="Calibri"/>
            <family val="2"/>
          </rPr>
          <t>Night shift hours of the first day of the following month that are calculated to the previous day.
In December you can manually enter night shift hours between 00:00 and 06:00 worked on the 1st January of the following year.
In all other months the value is calculated and shan't be overwritten.</t>
        </r>
      </text>
    </comment>
    <comment ref="AL79" authorId="0" shapeId="0" xr:uid="{D00DB4F3-3875-447E-870A-06136456E3D7}">
      <text>
        <r>
          <rPr>
            <b/>
            <sz val="8"/>
            <color indexed="81"/>
            <rFont val="Calibri"/>
            <family val="2"/>
          </rPr>
          <t>Any compensation during this month is deducted here.</t>
        </r>
      </text>
    </comment>
    <comment ref="AH82" authorId="0" shapeId="0" xr:uid="{DC2AFBCB-D9B2-41C1-B589-63AD148EA5FE}">
      <text>
        <r>
          <rPr>
            <b/>
            <sz val="8"/>
            <color indexed="81"/>
            <rFont val="Calibri"/>
            <family val="2"/>
          </rPr>
          <t>Number of Saturday/Sunday shifts</t>
        </r>
      </text>
    </comment>
    <comment ref="AF85" authorId="2" shapeId="0" xr:uid="{7D33AB92-C255-464D-9254-DEEE754AA740}">
      <text>
        <r>
          <rPr>
            <b/>
            <sz val="8"/>
            <color indexed="81"/>
            <rFont val="Calibri"/>
            <family val="2"/>
          </rPr>
          <t>Please indicate with "+" or "-" if correction is plus or minus.</t>
        </r>
      </text>
    </comment>
    <comment ref="A97" authorId="2" shapeId="0" xr:uid="{F01FE89A-F308-4E2C-AA62-A07CF6107DE2}">
      <text>
        <r>
          <rPr>
            <b/>
            <sz val="8"/>
            <color indexed="81"/>
            <rFont val="Calibri"/>
            <family val="2"/>
          </rPr>
          <t>Project description must be specified on the worksheet "Eingabeblatt".</t>
        </r>
      </text>
    </comment>
    <comment ref="A98" authorId="2" shapeId="0" xr:uid="{2F56913C-F06A-4692-A4A6-EE283A6F99B6}">
      <text>
        <r>
          <rPr>
            <b/>
            <sz val="8"/>
            <color indexed="81"/>
            <rFont val="Calibri"/>
            <family val="2"/>
          </rPr>
          <t>Project description must be specified on the worksheet "Eingabeblatt".</t>
        </r>
      </text>
    </comment>
    <comment ref="A99" authorId="2" shapeId="0" xr:uid="{D9DD993E-AD17-423A-B29D-708209E11DFF}">
      <text>
        <r>
          <rPr>
            <b/>
            <sz val="8"/>
            <color indexed="81"/>
            <rFont val="Calibri"/>
            <family val="2"/>
          </rPr>
          <t>Project description must be specified on the worksheet "Eingabeblatt".</t>
        </r>
      </text>
    </comment>
    <comment ref="A100" authorId="2" shapeId="0" xr:uid="{79484151-31EF-4CF5-B09D-896EB515F997}">
      <text>
        <r>
          <rPr>
            <b/>
            <sz val="8"/>
            <color indexed="81"/>
            <rFont val="Calibri"/>
            <family val="2"/>
          </rPr>
          <t>Project description must be specified on the worksheet "Eingabeblatt".</t>
        </r>
      </text>
    </comment>
    <comment ref="A101" authorId="2" shapeId="0" xr:uid="{0C6FF9D9-15DA-495E-A26C-125474AAB3F1}">
      <text>
        <r>
          <rPr>
            <b/>
            <sz val="8"/>
            <color indexed="81"/>
            <rFont val="Calibri"/>
            <family val="2"/>
          </rPr>
          <t>Project description must be specified on the worksheet "Eingabeblatt".</t>
        </r>
      </text>
    </comment>
    <comment ref="A102" authorId="2" shapeId="0" xr:uid="{EEBFBBE0-005E-4E18-BF87-D8D31EFBD700}">
      <text>
        <r>
          <rPr>
            <b/>
            <sz val="8"/>
            <color indexed="81"/>
            <rFont val="Calibri"/>
            <family val="2"/>
          </rPr>
          <t>Project description must be specified on the worksheet "Eingabeblatt".</t>
        </r>
      </text>
    </comment>
    <comment ref="A103" authorId="2" shapeId="0" xr:uid="{BBE17E18-EA61-406C-B722-AEE9E1BC8692}">
      <text>
        <r>
          <rPr>
            <b/>
            <sz val="8"/>
            <color indexed="81"/>
            <rFont val="Calibri"/>
            <family val="2"/>
          </rPr>
          <t>Project description must be specified on the worksheet "Eingabeblatt".</t>
        </r>
      </text>
    </comment>
    <comment ref="A104" authorId="2" shapeId="0" xr:uid="{009B5F68-4CBB-4CE9-A9C2-24307C653B01}">
      <text>
        <r>
          <rPr>
            <b/>
            <sz val="8"/>
            <color indexed="81"/>
            <rFont val="Calibri"/>
            <family val="2"/>
          </rPr>
          <t>Project description must be specified on the worksheet "Eingabeblatt".</t>
        </r>
      </text>
    </comment>
    <comment ref="A105" authorId="2" shapeId="0" xr:uid="{BC9382F5-1D46-4748-A3C3-6BE97F3CCDF7}">
      <text>
        <r>
          <rPr>
            <b/>
            <sz val="8"/>
            <color indexed="81"/>
            <rFont val="Calibri"/>
            <family val="2"/>
          </rPr>
          <t>Project description must be specified on the worksheet "Eingabeblatt".</t>
        </r>
      </text>
    </comment>
    <comment ref="A106" authorId="2" shapeId="0" xr:uid="{1EA439DB-9271-4ED1-8205-9957C5FF07B5}">
      <text>
        <r>
          <rPr>
            <b/>
            <sz val="8"/>
            <color indexed="81"/>
            <rFont val="Calibri"/>
            <family val="2"/>
          </rPr>
          <t>Project description must be specified on the worksheet "Eingabeblatt".</t>
        </r>
      </text>
    </comment>
    <comment ref="A107" authorId="2" shapeId="0" xr:uid="{A94E3011-4757-48C9-B26A-F0319E9547E5}">
      <text>
        <r>
          <rPr>
            <b/>
            <sz val="8"/>
            <color indexed="81"/>
            <rFont val="Calibri"/>
            <family val="2"/>
          </rPr>
          <t>Project description must be specified on the worksheet "Eingabeblatt".</t>
        </r>
      </text>
    </comment>
    <comment ref="A108" authorId="2" shapeId="0" xr:uid="{2C2E6943-658E-4903-B7CA-6B1FA2740315}">
      <text>
        <r>
          <rPr>
            <b/>
            <sz val="8"/>
            <color indexed="81"/>
            <rFont val="Calibri"/>
            <family val="2"/>
          </rPr>
          <t>Project description must be specified on the worksheet "Eingabeblatt".</t>
        </r>
      </text>
    </comment>
    <comment ref="A109" authorId="2" shapeId="0" xr:uid="{83C9E8B4-4404-48FA-A93A-4B7ED39D51D0}">
      <text>
        <r>
          <rPr>
            <b/>
            <sz val="8"/>
            <color indexed="81"/>
            <rFont val="Calibri"/>
            <family val="2"/>
          </rPr>
          <t>Project description must be specified on the worksheet "Eingabeblatt".</t>
        </r>
      </text>
    </comment>
    <comment ref="A110" authorId="2" shapeId="0" xr:uid="{F51F0849-BA5A-486E-8514-6C1C84CF556B}">
      <text>
        <r>
          <rPr>
            <b/>
            <sz val="8"/>
            <color indexed="81"/>
            <rFont val="Calibri"/>
            <family val="2"/>
          </rPr>
          <t>Project description must be specified on the worksheet "Eingabeblatt".</t>
        </r>
      </text>
    </comment>
    <comment ref="A111" authorId="2" shapeId="0" xr:uid="{B7FB7A0C-81BD-4C01-BFFC-32C83A752353}">
      <text>
        <r>
          <rPr>
            <b/>
            <sz val="8"/>
            <color indexed="81"/>
            <rFont val="Calibri"/>
            <family val="2"/>
          </rPr>
          <t>Project description must be specified on the worksheet "Eingabeblatt".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Jeannette Hügli</author>
    <author>Peter von Ballmoos</author>
    <author>--</author>
    <author>Filipovic Stojan ABRAXAS INFORMATIK AG</author>
  </authors>
  <commentList>
    <comment ref="AO10" authorId="0" shapeId="0" xr:uid="{E45CEE9B-30D0-4E41-8B8E-43B0BA917FD1}">
      <text>
        <r>
          <rPr>
            <b/>
            <sz val="8"/>
            <color indexed="81"/>
            <rFont val="Calibri"/>
            <family val="2"/>
          </rPr>
          <t>Yearly balance
The first figure shows the balance by the end of the month.
The second figure shows the today's current balance by the
end of the year.</t>
        </r>
      </text>
    </comment>
    <comment ref="AJ34" authorId="1" shapeId="0" xr:uid="{589B47FB-53EA-4BE8-821D-9BC95519D048}">
      <text>
        <r>
          <rPr>
            <b/>
            <sz val="8"/>
            <color indexed="81"/>
            <rFont val="Calibri"/>
            <family val="2"/>
          </rPr>
          <t>Either: on call days at weekdays / weekends and public holidays / Sum
Or: (50 hours &amp; Vetsuisse): number of on call days below 5 h / above 5 h / Sum</t>
        </r>
      </text>
    </comment>
    <comment ref="A35" authorId="1" shapeId="0" xr:uid="{945494D9-8876-4307-8479-D8FA9566FDDF}">
      <text>
        <r>
          <rPr>
            <b/>
            <sz val="8"/>
            <color indexed="81"/>
            <rFont val="Calibri"/>
            <family val="2"/>
          </rPr>
          <t>Entitled to overtime (approval required)</t>
        </r>
      </text>
    </comment>
    <comment ref="A36" authorId="1" shapeId="0" xr:uid="{A1C2FB6A-F374-40F4-9F28-1AED839BB705}">
      <text>
        <r>
          <rPr>
            <b/>
            <sz val="8"/>
            <color indexed="81"/>
            <rFont val="Calibri"/>
            <family val="2"/>
          </rPr>
          <t>Entitled to overtime (approval required)</t>
        </r>
      </text>
    </comment>
    <comment ref="A37" authorId="1" shapeId="0" xr:uid="{7F9F256A-ED5A-4891-942F-5A00FDE75EF4}">
      <text>
        <r>
          <rPr>
            <b/>
            <sz val="8"/>
            <color indexed="81"/>
            <rFont val="Calibri"/>
            <family val="2"/>
          </rPr>
          <t>Entitled to overtime (approval required)</t>
        </r>
      </text>
    </comment>
    <comment ref="A38" authorId="1" shapeId="0" xr:uid="{FA19E504-3672-46DA-891E-5C351B32AB60}">
      <text>
        <r>
          <rPr>
            <b/>
            <sz val="8"/>
            <color indexed="81"/>
            <rFont val="Calibri"/>
            <family val="2"/>
          </rPr>
          <t>Entitled to overtime (approval required)</t>
        </r>
      </text>
    </comment>
    <comment ref="A39" authorId="1" shapeId="0" xr:uid="{3F39F86A-5CA8-492E-A402-E2405AF8709B}">
      <text>
        <r>
          <rPr>
            <b/>
            <sz val="8"/>
            <color indexed="81"/>
            <rFont val="Calibri"/>
            <family val="2"/>
          </rPr>
          <t>Entitled to overtime (approval required)</t>
        </r>
      </text>
    </comment>
    <comment ref="A40" authorId="1" shapeId="0" xr:uid="{8A68E618-B5AE-4897-9F86-F7F7C5C75CC4}">
      <text>
        <r>
          <rPr>
            <b/>
            <sz val="8"/>
            <color indexed="81"/>
            <rFont val="Calibri"/>
            <family val="2"/>
          </rPr>
          <t>Entitled to overtime (approval required)</t>
        </r>
      </text>
    </comment>
    <comment ref="A41" authorId="1" shapeId="0" xr:uid="{B0E0A077-FDED-44C5-8F79-B1C9B2EA7B0F}">
      <text>
        <r>
          <rPr>
            <b/>
            <sz val="8"/>
            <color indexed="81"/>
            <rFont val="Calibri"/>
            <family val="2"/>
          </rPr>
          <t>Entitled to overtime (approval required)</t>
        </r>
      </text>
    </comment>
    <comment ref="A42" authorId="1" shapeId="0" xr:uid="{3A5FD3A8-0DC4-4D66-B89B-219304B2D6F4}">
      <text>
        <r>
          <rPr>
            <b/>
            <sz val="8"/>
            <color indexed="81"/>
            <rFont val="Calibri"/>
            <family val="2"/>
          </rPr>
          <t>Entitled to overtime (approval required)</t>
        </r>
      </text>
    </comment>
    <comment ref="A43" authorId="1" shapeId="0" xr:uid="{39D01DCC-8888-485D-88C2-C876FB9C8336}">
      <text>
        <r>
          <rPr>
            <b/>
            <sz val="8"/>
            <color indexed="81"/>
            <rFont val="Calibri"/>
            <family val="2"/>
          </rPr>
          <t>Entitled to overtime (approval required)</t>
        </r>
      </text>
    </comment>
    <comment ref="A44" authorId="1" shapeId="0" xr:uid="{F725BD1F-44AB-4DB7-A82E-DC29F6C27424}">
      <text>
        <r>
          <rPr>
            <b/>
            <sz val="8"/>
            <color indexed="81"/>
            <rFont val="Calibri"/>
            <family val="2"/>
          </rPr>
          <t>Entitled to overtime (approval required)</t>
        </r>
      </text>
    </comment>
    <comment ref="AM48" authorId="0" shapeId="0" xr:uid="{1299DE87-04D6-4930-BE96-46E9E2F15D37}">
      <text>
        <r>
          <rPr>
            <b/>
            <sz val="8"/>
            <color indexed="81"/>
            <rFont val="Calibri"/>
            <family val="2"/>
          </rPr>
          <t>On call hours of the first day of the following month that are calculated to the previous day.
In December you can manually enter on call hours between 00:00 and 08:00 worked on the 1st January of the following year.
In all other months the value is calculated and shan't be overwritten.</t>
        </r>
      </text>
    </comment>
    <comment ref="AH57" authorId="2" shapeId="0" xr:uid="{529E42C0-77D7-4C4C-9A46-AC5BDA54E33E}">
      <text>
        <r>
          <rPr>
            <b/>
            <sz val="8"/>
            <color indexed="81"/>
            <rFont val="Calibri"/>
            <family val="2"/>
          </rPr>
          <t>Please indicate with "+" or "-" if correction is plus or minus.</t>
        </r>
      </text>
    </comment>
    <comment ref="AL58" authorId="0" shapeId="0" xr:uid="{CF0513BC-D933-495D-8831-0F7C7D821E13}">
      <text>
        <r>
          <rPr>
            <b/>
            <sz val="8"/>
            <color indexed="81"/>
            <rFont val="Calibri"/>
            <family val="2"/>
          </rPr>
          <t>These hours are already included in the monthly total</t>
        </r>
      </text>
    </comment>
    <comment ref="AG63" authorId="3" shapeId="0" xr:uid="{C94E1FAE-1B45-425A-8C75-67B373B1D2FF}">
      <text>
        <r>
          <rPr>
            <b/>
            <sz val="8"/>
            <color indexed="81"/>
            <rFont val="Calibri"/>
            <family val="2"/>
          </rPr>
          <t>Supplement of 25% on ordered overtime applies up to pay category 16 according to §127 VVO.
Entitled employees choose "Yes" in field "Supplement on Overtime entitled" on worksheet "Eingabeblatt"
Pay category 17 and up has to compensate overtime 1.1.
No supplement for 50 hours &amp; Vetsuisse.</t>
        </r>
      </text>
    </comment>
    <comment ref="AH64" authorId="2" shapeId="0" xr:uid="{10FECBDD-9458-408B-9256-30620B9B8976}">
      <text>
        <r>
          <rPr>
            <b/>
            <sz val="8"/>
            <color indexed="81"/>
            <rFont val="Calibri"/>
            <family val="2"/>
          </rPr>
          <t>Please indicate with "+" or "-" if correction is plus or minus.</t>
        </r>
      </text>
    </comment>
    <comment ref="AJ72" authorId="1" shapeId="0" xr:uid="{6DD4991D-1490-45C7-8667-FAA47B2C0FCA}">
      <text>
        <r>
          <rPr>
            <b/>
            <sz val="8"/>
            <color indexed="81"/>
            <rFont val="Calibri"/>
            <family val="2"/>
          </rPr>
          <t>Number of planned night shifts</t>
        </r>
      </text>
    </comment>
    <comment ref="AJ73" authorId="0" shapeId="0" xr:uid="{0310A9B8-E716-4D7D-9AB0-60A1A6CA6300}">
      <text>
        <r>
          <rPr>
            <b/>
            <sz val="8"/>
            <color indexed="81"/>
            <rFont val="Calibri"/>
            <family val="2"/>
          </rPr>
          <t>Number of days with night shifts.
50 hours &amp; Vetsuisse: according to out time 24:00
ServiceCenter Irchel: planned night shifts
Others: every night shift counts</t>
        </r>
      </text>
    </comment>
    <comment ref="AM76" authorId="0" shapeId="0" xr:uid="{7DB4ACC6-A49F-4F97-B4A0-072AE4D99E9F}">
      <text>
        <r>
          <rPr>
            <b/>
            <sz val="8"/>
            <color indexed="81"/>
            <rFont val="Calibri"/>
            <family val="2"/>
          </rPr>
          <t>Night shift hours of the first day of the following month that are calculated to the previous day.
In December you can manually enter night shift hours between 00:00 and 06:00 worked on the 1st January of the following year.
In all other months the value is calculated and shan't be overwritten.</t>
        </r>
      </text>
    </comment>
    <comment ref="AN79" authorId="0" shapeId="0" xr:uid="{F34AEB5D-7AA2-4842-A094-77A7749CFE7E}">
      <text>
        <r>
          <rPr>
            <b/>
            <sz val="8"/>
            <color indexed="81"/>
            <rFont val="Calibri"/>
            <family val="2"/>
          </rPr>
          <t>Any compensation during this month is deducted here.</t>
        </r>
      </text>
    </comment>
    <comment ref="AJ82" authorId="0" shapeId="0" xr:uid="{52FED7F5-4204-4D2F-8CED-C4D92D4F357C}">
      <text>
        <r>
          <rPr>
            <b/>
            <sz val="8"/>
            <color indexed="81"/>
            <rFont val="Calibri"/>
            <family val="2"/>
          </rPr>
          <t>Number of Saturday/Sunday shifts</t>
        </r>
      </text>
    </comment>
    <comment ref="AH85" authorId="2" shapeId="0" xr:uid="{E750140B-938A-4AAA-953C-7F6700F875E7}">
      <text>
        <r>
          <rPr>
            <b/>
            <sz val="8"/>
            <color indexed="81"/>
            <rFont val="Calibri"/>
            <family val="2"/>
          </rPr>
          <t>Please indicate with "+" or "-" if correction is plus or minus.</t>
        </r>
      </text>
    </comment>
    <comment ref="A97" authorId="2" shapeId="0" xr:uid="{1EB0EAFF-DDC6-419A-BF89-179FC2CFB00E}">
      <text>
        <r>
          <rPr>
            <b/>
            <sz val="8"/>
            <color indexed="81"/>
            <rFont val="Calibri"/>
            <family val="2"/>
          </rPr>
          <t>Project description must be specified on the worksheet "Eingabeblatt".</t>
        </r>
      </text>
    </comment>
    <comment ref="A98" authorId="2" shapeId="0" xr:uid="{0B238C3D-8BB4-49A3-9E99-3D09A6EF6BFD}">
      <text>
        <r>
          <rPr>
            <b/>
            <sz val="8"/>
            <color indexed="81"/>
            <rFont val="Calibri"/>
            <family val="2"/>
          </rPr>
          <t>Project description must be specified on the worksheet "Eingabeblatt".</t>
        </r>
      </text>
    </comment>
    <comment ref="A99" authorId="2" shapeId="0" xr:uid="{5364F339-90A0-45EB-9631-1235D3227FEC}">
      <text>
        <r>
          <rPr>
            <b/>
            <sz val="8"/>
            <color indexed="81"/>
            <rFont val="Calibri"/>
            <family val="2"/>
          </rPr>
          <t>Project description must be specified on the worksheet "Eingabeblatt".</t>
        </r>
      </text>
    </comment>
    <comment ref="A100" authorId="2" shapeId="0" xr:uid="{EF775D12-12DA-4173-99CC-331938DC5BFC}">
      <text>
        <r>
          <rPr>
            <b/>
            <sz val="8"/>
            <color indexed="81"/>
            <rFont val="Calibri"/>
            <family val="2"/>
          </rPr>
          <t>Project description must be specified on the worksheet "Eingabeblatt".</t>
        </r>
      </text>
    </comment>
    <comment ref="A101" authorId="2" shapeId="0" xr:uid="{3D339A05-078C-4A9E-BF3E-4A14FEC1E9AA}">
      <text>
        <r>
          <rPr>
            <b/>
            <sz val="8"/>
            <color indexed="81"/>
            <rFont val="Calibri"/>
            <family val="2"/>
          </rPr>
          <t>Project description must be specified on the worksheet "Eingabeblatt".</t>
        </r>
      </text>
    </comment>
    <comment ref="A102" authorId="2" shapeId="0" xr:uid="{525CC881-14DB-4BBA-B645-3CBEE9A53336}">
      <text>
        <r>
          <rPr>
            <b/>
            <sz val="8"/>
            <color indexed="81"/>
            <rFont val="Calibri"/>
            <family val="2"/>
          </rPr>
          <t>Project description must be specified on the worksheet "Eingabeblatt".</t>
        </r>
      </text>
    </comment>
    <comment ref="A103" authorId="2" shapeId="0" xr:uid="{27A64EA9-93FE-448C-BD83-D5FF969E07B8}">
      <text>
        <r>
          <rPr>
            <b/>
            <sz val="8"/>
            <color indexed="81"/>
            <rFont val="Calibri"/>
            <family val="2"/>
          </rPr>
          <t>Project description must be specified on the worksheet "Eingabeblatt".</t>
        </r>
      </text>
    </comment>
    <comment ref="A104" authorId="2" shapeId="0" xr:uid="{280E42CA-AD72-489E-97FE-5F9BD0682578}">
      <text>
        <r>
          <rPr>
            <b/>
            <sz val="8"/>
            <color indexed="81"/>
            <rFont val="Calibri"/>
            <family val="2"/>
          </rPr>
          <t>Project description must be specified on the worksheet "Eingabeblatt".</t>
        </r>
      </text>
    </comment>
    <comment ref="A105" authorId="2" shapeId="0" xr:uid="{4D686FB8-7A78-43A1-AECE-81A5F769EC94}">
      <text>
        <r>
          <rPr>
            <b/>
            <sz val="8"/>
            <color indexed="81"/>
            <rFont val="Calibri"/>
            <family val="2"/>
          </rPr>
          <t>Project description must be specified on the worksheet "Eingabeblatt".</t>
        </r>
      </text>
    </comment>
    <comment ref="A106" authorId="2" shapeId="0" xr:uid="{A18FD2EA-EB02-4505-BBFF-FB69D350A61B}">
      <text>
        <r>
          <rPr>
            <b/>
            <sz val="8"/>
            <color indexed="81"/>
            <rFont val="Calibri"/>
            <family val="2"/>
          </rPr>
          <t>Project description must be specified on the worksheet "Eingabeblatt".</t>
        </r>
      </text>
    </comment>
    <comment ref="A107" authorId="2" shapeId="0" xr:uid="{052CA992-99CE-4D8E-9CF1-D2BAA8853AA3}">
      <text>
        <r>
          <rPr>
            <b/>
            <sz val="8"/>
            <color indexed="81"/>
            <rFont val="Calibri"/>
            <family val="2"/>
          </rPr>
          <t>Project description must be specified on the worksheet "Eingabeblatt".</t>
        </r>
      </text>
    </comment>
    <comment ref="A108" authorId="2" shapeId="0" xr:uid="{E21169EA-8868-478A-ACEA-56CD8096E932}">
      <text>
        <r>
          <rPr>
            <b/>
            <sz val="8"/>
            <color indexed="81"/>
            <rFont val="Calibri"/>
            <family val="2"/>
          </rPr>
          <t>Project description must be specified on the worksheet "Eingabeblatt".</t>
        </r>
      </text>
    </comment>
    <comment ref="A109" authorId="2" shapeId="0" xr:uid="{A3CD1436-55B6-409D-A804-6A199DE3E2F4}">
      <text>
        <r>
          <rPr>
            <b/>
            <sz val="8"/>
            <color indexed="81"/>
            <rFont val="Calibri"/>
            <family val="2"/>
          </rPr>
          <t>Project description must be specified on the worksheet "Eingabeblatt".</t>
        </r>
      </text>
    </comment>
    <comment ref="A110" authorId="2" shapeId="0" xr:uid="{C037B765-1C14-44E0-BAC0-4B0F516094AB}">
      <text>
        <r>
          <rPr>
            <b/>
            <sz val="8"/>
            <color indexed="81"/>
            <rFont val="Calibri"/>
            <family val="2"/>
          </rPr>
          <t>Project description must be specified on the worksheet "Eingabeblatt".</t>
        </r>
      </text>
    </comment>
    <comment ref="A111" authorId="2" shapeId="0" xr:uid="{2D3E614C-380C-46A4-960B-B2103607A00E}">
      <text>
        <r>
          <rPr>
            <b/>
            <sz val="8"/>
            <color indexed="81"/>
            <rFont val="Calibri"/>
            <family val="2"/>
          </rPr>
          <t>Project description must be specified on the worksheet "Eingabeblatt".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Jeannette Hügli</author>
    <author>Peter von Ballmoos</author>
    <author>--</author>
    <author>Filipovic Stojan ABRAXAS INFORMATIK AG</author>
  </authors>
  <commentList>
    <comment ref="AN10" authorId="0" shapeId="0" xr:uid="{DD5F291B-BD16-404A-A104-C21910697D11}">
      <text>
        <r>
          <rPr>
            <b/>
            <sz val="8"/>
            <color indexed="81"/>
            <rFont val="Calibri"/>
            <family val="2"/>
          </rPr>
          <t>Yearly balance
The first figure shows the balance by the end of the month.
The second figure shows the today's current balance by the
end of the year.</t>
        </r>
      </text>
    </comment>
    <comment ref="AI34" authorId="1" shapeId="0" xr:uid="{41D5F2F3-C395-4F81-A5AD-E1610D6EC9D0}">
      <text>
        <r>
          <rPr>
            <b/>
            <sz val="8"/>
            <color indexed="81"/>
            <rFont val="Calibri"/>
            <family val="2"/>
          </rPr>
          <t>Either: on call days at weekdays / weekends and public holidays / Sum
Or: (50 hours &amp; Vetsuisse): number of on call days below 5 h / above 5 h / Sum</t>
        </r>
      </text>
    </comment>
    <comment ref="A35" authorId="1" shapeId="0" xr:uid="{CBFDDC6E-74C1-4FAC-B509-97FF4C0ED01F}">
      <text>
        <r>
          <rPr>
            <b/>
            <sz val="8"/>
            <color indexed="81"/>
            <rFont val="Calibri"/>
            <family val="2"/>
          </rPr>
          <t>Entitled to overtime (approval required)</t>
        </r>
      </text>
    </comment>
    <comment ref="A36" authorId="1" shapeId="0" xr:uid="{4BE1969D-C4B4-4D26-8F39-D213A510EFEB}">
      <text>
        <r>
          <rPr>
            <b/>
            <sz val="8"/>
            <color indexed="81"/>
            <rFont val="Calibri"/>
            <family val="2"/>
          </rPr>
          <t>Entitled to overtime (approval required)</t>
        </r>
      </text>
    </comment>
    <comment ref="A37" authorId="1" shapeId="0" xr:uid="{A367A189-E376-49A3-A7A0-E3AE9D3623CD}">
      <text>
        <r>
          <rPr>
            <b/>
            <sz val="8"/>
            <color indexed="81"/>
            <rFont val="Calibri"/>
            <family val="2"/>
          </rPr>
          <t>Entitled to overtime (approval required)</t>
        </r>
      </text>
    </comment>
    <comment ref="A38" authorId="1" shapeId="0" xr:uid="{185BC465-3B6C-444F-912B-38AB1906A09D}">
      <text>
        <r>
          <rPr>
            <b/>
            <sz val="8"/>
            <color indexed="81"/>
            <rFont val="Calibri"/>
            <family val="2"/>
          </rPr>
          <t>Entitled to overtime (approval required)</t>
        </r>
      </text>
    </comment>
    <comment ref="A39" authorId="1" shapeId="0" xr:uid="{D52F5719-CCC5-4E87-A34F-BE4BE02A2FE9}">
      <text>
        <r>
          <rPr>
            <b/>
            <sz val="8"/>
            <color indexed="81"/>
            <rFont val="Calibri"/>
            <family val="2"/>
          </rPr>
          <t>Entitled to overtime (approval required)</t>
        </r>
      </text>
    </comment>
    <comment ref="A40" authorId="1" shapeId="0" xr:uid="{9269310B-EA2E-4C8D-83B8-6E5069D68D0B}">
      <text>
        <r>
          <rPr>
            <b/>
            <sz val="8"/>
            <color indexed="81"/>
            <rFont val="Calibri"/>
            <family val="2"/>
          </rPr>
          <t>Entitled to overtime (approval required)</t>
        </r>
      </text>
    </comment>
    <comment ref="A41" authorId="1" shapeId="0" xr:uid="{6DD900EB-FA92-4D4B-9A1E-2BECC800DC24}">
      <text>
        <r>
          <rPr>
            <b/>
            <sz val="8"/>
            <color indexed="81"/>
            <rFont val="Calibri"/>
            <family val="2"/>
          </rPr>
          <t>Entitled to overtime (approval required)</t>
        </r>
      </text>
    </comment>
    <comment ref="A42" authorId="1" shapeId="0" xr:uid="{AB8F3701-B7B5-409E-B089-0EA83487AB21}">
      <text>
        <r>
          <rPr>
            <b/>
            <sz val="8"/>
            <color indexed="81"/>
            <rFont val="Calibri"/>
            <family val="2"/>
          </rPr>
          <t>Entitled to overtime (approval required)</t>
        </r>
      </text>
    </comment>
    <comment ref="A43" authorId="1" shapeId="0" xr:uid="{84C3E862-C913-46BE-8899-B2CD9BF9DF66}">
      <text>
        <r>
          <rPr>
            <b/>
            <sz val="8"/>
            <color indexed="81"/>
            <rFont val="Calibri"/>
            <family val="2"/>
          </rPr>
          <t>Entitled to overtime (approval required)</t>
        </r>
      </text>
    </comment>
    <comment ref="A44" authorId="1" shapeId="0" xr:uid="{3B5068CC-4260-4AD8-99A5-0478956A7FC6}">
      <text>
        <r>
          <rPr>
            <b/>
            <sz val="8"/>
            <color indexed="81"/>
            <rFont val="Calibri"/>
            <family val="2"/>
          </rPr>
          <t>Entitled to overtime (approval required)</t>
        </r>
      </text>
    </comment>
    <comment ref="AL48" authorId="0" shapeId="0" xr:uid="{92BF438F-DF87-47F9-9674-6F700514801A}">
      <text>
        <r>
          <rPr>
            <b/>
            <sz val="8"/>
            <color indexed="81"/>
            <rFont val="Calibri"/>
            <family val="2"/>
          </rPr>
          <t>On call hours of the first day of the following month that are calculated to the previous day.
In December you can manually enter on call hours between 00:00 and 08:00 worked on the 1st January of the following year.
In all other months the value is calculated and shan't be overwritten.</t>
        </r>
      </text>
    </comment>
    <comment ref="AG57" authorId="2" shapeId="0" xr:uid="{4E11E07A-20DA-44A9-A6C9-7D76E846C5D4}">
      <text>
        <r>
          <rPr>
            <b/>
            <sz val="8"/>
            <color indexed="81"/>
            <rFont val="Calibri"/>
            <family val="2"/>
          </rPr>
          <t>Please indicate with "+" or "-" if correction is plus or minus.</t>
        </r>
      </text>
    </comment>
    <comment ref="AK58" authorId="0" shapeId="0" xr:uid="{16EBAE09-6539-44D5-9A2E-2A5B4ECA3E8C}">
      <text>
        <r>
          <rPr>
            <b/>
            <sz val="8"/>
            <color indexed="81"/>
            <rFont val="Calibri"/>
            <family val="2"/>
          </rPr>
          <t>These hours are already included in the monthly total</t>
        </r>
      </text>
    </comment>
    <comment ref="AF63" authorId="3" shapeId="0" xr:uid="{253D4A35-5B41-4EF2-9BCC-405F5A72EACD}">
      <text>
        <r>
          <rPr>
            <b/>
            <sz val="8"/>
            <color indexed="81"/>
            <rFont val="Calibri"/>
            <family val="2"/>
          </rPr>
          <t>Supplement of 25% on ordered overtime applies up to pay category 16 according to §127 VVO.
Entitled employees choose "Yes" in field "Supplement on Overtime entitled" on worksheet "Eingabeblatt"
Pay category 17 and up has to compensate overtime 1.1.
No supplement for 50 hours &amp; Vetsuisse.</t>
        </r>
      </text>
    </comment>
    <comment ref="AG64" authorId="2" shapeId="0" xr:uid="{C498926D-DA3B-431F-B813-66FDEA352F1C}">
      <text>
        <r>
          <rPr>
            <b/>
            <sz val="8"/>
            <color indexed="81"/>
            <rFont val="Calibri"/>
            <family val="2"/>
          </rPr>
          <t>Please indicate with "+" or "-" if correction is plus or minus.</t>
        </r>
      </text>
    </comment>
    <comment ref="AI72" authorId="1" shapeId="0" xr:uid="{C49FD4DD-39E5-4AEE-93BB-9C5D8CBD9653}">
      <text>
        <r>
          <rPr>
            <b/>
            <sz val="8"/>
            <color indexed="81"/>
            <rFont val="Calibri"/>
            <family val="2"/>
          </rPr>
          <t>Number of planned night shifts</t>
        </r>
      </text>
    </comment>
    <comment ref="AI73" authorId="0" shapeId="0" xr:uid="{866772F0-7CEE-45B9-AAE7-5386489532B1}">
      <text>
        <r>
          <rPr>
            <b/>
            <sz val="8"/>
            <color indexed="81"/>
            <rFont val="Calibri"/>
            <family val="2"/>
          </rPr>
          <t>Number of days with night shifts.
50 hours &amp; Vetsuisse: according to out time 24:00
ServiceCenter Irchel: planned night shifts
Others: every night shift counts</t>
        </r>
      </text>
    </comment>
    <comment ref="AL76" authorId="0" shapeId="0" xr:uid="{1B42F023-55C4-45FF-930B-798F04FE8409}">
      <text>
        <r>
          <rPr>
            <b/>
            <sz val="8"/>
            <color indexed="81"/>
            <rFont val="Calibri"/>
            <family val="2"/>
          </rPr>
          <t>Night shift hours of the first day of the following month that are calculated to the previous day.
In December you can manually enter night shift hours between 00:00 and 06:00 worked on the 1st January of the following year.
In all other months the value is calculated and shan't be overwritten.</t>
        </r>
      </text>
    </comment>
    <comment ref="AM79" authorId="0" shapeId="0" xr:uid="{A372346F-32A7-4628-9636-CD840A820950}">
      <text>
        <r>
          <rPr>
            <b/>
            <sz val="8"/>
            <color indexed="81"/>
            <rFont val="Calibri"/>
            <family val="2"/>
          </rPr>
          <t>Any compensation during this month is deducted here.</t>
        </r>
      </text>
    </comment>
    <comment ref="AI82" authorId="0" shapeId="0" xr:uid="{A9BACB16-D750-4134-9591-17B516D04740}">
      <text>
        <r>
          <rPr>
            <b/>
            <sz val="8"/>
            <color indexed="81"/>
            <rFont val="Calibri"/>
            <family val="2"/>
          </rPr>
          <t>Number of Saturday/Sunday shifts</t>
        </r>
      </text>
    </comment>
    <comment ref="AG85" authorId="2" shapeId="0" xr:uid="{FEBE8769-8C6F-4BD5-8D38-BF0324C5E9C2}">
      <text>
        <r>
          <rPr>
            <b/>
            <sz val="8"/>
            <color indexed="81"/>
            <rFont val="Calibri"/>
            <family val="2"/>
          </rPr>
          <t>Please indicate with "+" or "-" if correction is plus or minus.</t>
        </r>
      </text>
    </comment>
    <comment ref="A97" authorId="2" shapeId="0" xr:uid="{669EE926-021B-4F41-A583-6F5D02A2E893}">
      <text>
        <r>
          <rPr>
            <b/>
            <sz val="8"/>
            <color indexed="81"/>
            <rFont val="Calibri"/>
            <family val="2"/>
          </rPr>
          <t>Project description must be specified on the worksheet "Eingabeblatt".</t>
        </r>
      </text>
    </comment>
    <comment ref="A98" authorId="2" shapeId="0" xr:uid="{FAE74D5C-04C3-4010-A4D1-7BB9B3D68412}">
      <text>
        <r>
          <rPr>
            <b/>
            <sz val="8"/>
            <color indexed="81"/>
            <rFont val="Calibri"/>
            <family val="2"/>
          </rPr>
          <t>Project description must be specified on the worksheet "Eingabeblatt".</t>
        </r>
      </text>
    </comment>
    <comment ref="A99" authorId="2" shapeId="0" xr:uid="{AD0BC112-D9EE-4A9B-B693-CC2C6188643B}">
      <text>
        <r>
          <rPr>
            <b/>
            <sz val="8"/>
            <color indexed="81"/>
            <rFont val="Calibri"/>
            <family val="2"/>
          </rPr>
          <t>Project description must be specified on the worksheet "Eingabeblatt".</t>
        </r>
      </text>
    </comment>
    <comment ref="A100" authorId="2" shapeId="0" xr:uid="{FFAC8814-F264-4925-B2F5-608748BE0808}">
      <text>
        <r>
          <rPr>
            <b/>
            <sz val="8"/>
            <color indexed="81"/>
            <rFont val="Calibri"/>
            <family val="2"/>
          </rPr>
          <t>Project description must be specified on the worksheet "Eingabeblatt".</t>
        </r>
      </text>
    </comment>
    <comment ref="A101" authorId="2" shapeId="0" xr:uid="{F1790CD7-DD28-4B3B-B751-E3829DD362FB}">
      <text>
        <r>
          <rPr>
            <b/>
            <sz val="8"/>
            <color indexed="81"/>
            <rFont val="Calibri"/>
            <family val="2"/>
          </rPr>
          <t>Project description must be specified on the worksheet "Eingabeblatt".</t>
        </r>
      </text>
    </comment>
    <comment ref="A102" authorId="2" shapeId="0" xr:uid="{34F04B10-F1FC-426B-A707-D59B0BCD7536}">
      <text>
        <r>
          <rPr>
            <b/>
            <sz val="8"/>
            <color indexed="81"/>
            <rFont val="Calibri"/>
            <family val="2"/>
          </rPr>
          <t>Project description must be specified on the worksheet "Eingabeblatt".</t>
        </r>
      </text>
    </comment>
    <comment ref="A103" authorId="2" shapeId="0" xr:uid="{5886E023-ED54-4447-8C38-9BC8D7A5CFBD}">
      <text>
        <r>
          <rPr>
            <b/>
            <sz val="8"/>
            <color indexed="81"/>
            <rFont val="Calibri"/>
            <family val="2"/>
          </rPr>
          <t>Project description must be specified on the worksheet "Eingabeblatt".</t>
        </r>
      </text>
    </comment>
    <comment ref="A104" authorId="2" shapeId="0" xr:uid="{342BC811-E407-4401-9AAA-93196C56B20A}">
      <text>
        <r>
          <rPr>
            <b/>
            <sz val="8"/>
            <color indexed="81"/>
            <rFont val="Calibri"/>
            <family val="2"/>
          </rPr>
          <t>Project description must be specified on the worksheet "Eingabeblatt".</t>
        </r>
      </text>
    </comment>
    <comment ref="A105" authorId="2" shapeId="0" xr:uid="{1B8F6A06-3772-422F-A03E-2AD11743606B}">
      <text>
        <r>
          <rPr>
            <b/>
            <sz val="8"/>
            <color indexed="81"/>
            <rFont val="Calibri"/>
            <family val="2"/>
          </rPr>
          <t>Project description must be specified on the worksheet "Eingabeblatt".</t>
        </r>
      </text>
    </comment>
    <comment ref="A106" authorId="2" shapeId="0" xr:uid="{96063BE4-E709-4ABA-A5FB-663847162DDF}">
      <text>
        <r>
          <rPr>
            <b/>
            <sz val="8"/>
            <color indexed="81"/>
            <rFont val="Calibri"/>
            <family val="2"/>
          </rPr>
          <t>Project description must be specified on the worksheet "Eingabeblatt".</t>
        </r>
      </text>
    </comment>
    <comment ref="A107" authorId="2" shapeId="0" xr:uid="{81A356DF-DFB1-499D-A8CC-5CB3B350425A}">
      <text>
        <r>
          <rPr>
            <b/>
            <sz val="8"/>
            <color indexed="81"/>
            <rFont val="Calibri"/>
            <family val="2"/>
          </rPr>
          <t>Project description must be specified on the worksheet "Eingabeblatt".</t>
        </r>
      </text>
    </comment>
    <comment ref="A108" authorId="2" shapeId="0" xr:uid="{7CB54B63-7512-4402-A55A-6F5CE2016AB1}">
      <text>
        <r>
          <rPr>
            <b/>
            <sz val="8"/>
            <color indexed="81"/>
            <rFont val="Calibri"/>
            <family val="2"/>
          </rPr>
          <t>Project description must be specified on the worksheet "Eingabeblatt".</t>
        </r>
      </text>
    </comment>
    <comment ref="A109" authorId="2" shapeId="0" xr:uid="{CA084D04-02BE-4731-8EFE-6E706C95D1C5}">
      <text>
        <r>
          <rPr>
            <b/>
            <sz val="8"/>
            <color indexed="81"/>
            <rFont val="Calibri"/>
            <family val="2"/>
          </rPr>
          <t>Project description must be specified on the worksheet "Eingabeblatt".</t>
        </r>
      </text>
    </comment>
    <comment ref="A110" authorId="2" shapeId="0" xr:uid="{0A0536E9-BDBB-4ADD-8CFD-519417A4A1F2}">
      <text>
        <r>
          <rPr>
            <b/>
            <sz val="8"/>
            <color indexed="81"/>
            <rFont val="Calibri"/>
            <family val="2"/>
          </rPr>
          <t>Project description must be specified on the worksheet "Eingabeblatt".</t>
        </r>
      </text>
    </comment>
    <comment ref="A111" authorId="2" shapeId="0" xr:uid="{0906EEDA-F43B-4DA1-9BA1-AEBDA54A4D9B}">
      <text>
        <r>
          <rPr>
            <b/>
            <sz val="8"/>
            <color indexed="81"/>
            <rFont val="Calibri"/>
            <family val="2"/>
          </rPr>
          <t>Project description must be specified on the worksheet "Eingabeblatt".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Jeannette Hügli</author>
    <author>Peter von Ballmoos</author>
    <author>--</author>
    <author>Filipovic Stojan ABRAXAS INFORMATIK AG</author>
  </authors>
  <commentList>
    <comment ref="AO10" authorId="0" shapeId="0" xr:uid="{F360440A-A229-4FA1-AB32-8EE9F58A9AEC}">
      <text>
        <r>
          <rPr>
            <b/>
            <sz val="8"/>
            <color indexed="81"/>
            <rFont val="Calibri"/>
            <family val="2"/>
          </rPr>
          <t>Yearly balance
The first figure shows the balance by the end of the month.
The second figure shows the today's current balance by the
end of the year.</t>
        </r>
      </text>
    </comment>
    <comment ref="AJ34" authorId="1" shapeId="0" xr:uid="{A8A3DAB6-618A-4186-A43D-5AF485C98AAC}">
      <text>
        <r>
          <rPr>
            <b/>
            <sz val="8"/>
            <color indexed="81"/>
            <rFont val="Calibri"/>
            <family val="2"/>
          </rPr>
          <t>Either: on call days at weekdays / weekends and public holidays / Sum
Or: (50 hours &amp; Vetsuisse): number of on call days below 5 h / above 5 h / Sum</t>
        </r>
      </text>
    </comment>
    <comment ref="A35" authorId="1" shapeId="0" xr:uid="{A5BD64CE-F67E-4BAD-96E3-538444FF586E}">
      <text>
        <r>
          <rPr>
            <b/>
            <sz val="8"/>
            <color indexed="81"/>
            <rFont val="Calibri"/>
            <family val="2"/>
          </rPr>
          <t>Entitled to overtime (approval required)</t>
        </r>
      </text>
    </comment>
    <comment ref="A36" authorId="1" shapeId="0" xr:uid="{B98C45DC-6431-4D0C-A72B-AA5BE4C8484F}">
      <text>
        <r>
          <rPr>
            <b/>
            <sz val="8"/>
            <color indexed="81"/>
            <rFont val="Calibri"/>
            <family val="2"/>
          </rPr>
          <t>Entitled to overtime (approval required)</t>
        </r>
      </text>
    </comment>
    <comment ref="A37" authorId="1" shapeId="0" xr:uid="{4A688A24-9B0B-4A7B-9660-09F3CB500293}">
      <text>
        <r>
          <rPr>
            <b/>
            <sz val="8"/>
            <color indexed="81"/>
            <rFont val="Calibri"/>
            <family val="2"/>
          </rPr>
          <t>Entitled to overtime (approval required)</t>
        </r>
      </text>
    </comment>
    <comment ref="A38" authorId="1" shapeId="0" xr:uid="{822FBCB1-1EBB-4A4B-956C-991E8D688A19}">
      <text>
        <r>
          <rPr>
            <b/>
            <sz val="8"/>
            <color indexed="81"/>
            <rFont val="Calibri"/>
            <family val="2"/>
          </rPr>
          <t>Entitled to overtime (approval required)</t>
        </r>
      </text>
    </comment>
    <comment ref="A39" authorId="1" shapeId="0" xr:uid="{219B18B9-71B5-4F43-8E9B-77E227A0F14E}">
      <text>
        <r>
          <rPr>
            <b/>
            <sz val="8"/>
            <color indexed="81"/>
            <rFont val="Calibri"/>
            <family val="2"/>
          </rPr>
          <t>Entitled to overtime (approval required)</t>
        </r>
      </text>
    </comment>
    <comment ref="A40" authorId="1" shapeId="0" xr:uid="{CE353B59-32D2-43DA-8A18-99558A943713}">
      <text>
        <r>
          <rPr>
            <b/>
            <sz val="8"/>
            <color indexed="81"/>
            <rFont val="Calibri"/>
            <family val="2"/>
          </rPr>
          <t>Entitled to overtime (approval required)</t>
        </r>
      </text>
    </comment>
    <comment ref="A41" authorId="1" shapeId="0" xr:uid="{E750C810-701F-4C5D-86CF-BBA263B7ADA5}">
      <text>
        <r>
          <rPr>
            <b/>
            <sz val="8"/>
            <color indexed="81"/>
            <rFont val="Calibri"/>
            <family val="2"/>
          </rPr>
          <t>Entitled to overtime (approval required)</t>
        </r>
      </text>
    </comment>
    <comment ref="A42" authorId="1" shapeId="0" xr:uid="{F25D8D7A-D4A8-4682-A50D-FD09DD81A936}">
      <text>
        <r>
          <rPr>
            <b/>
            <sz val="8"/>
            <color indexed="81"/>
            <rFont val="Calibri"/>
            <family val="2"/>
          </rPr>
          <t>Entitled to overtime (approval required)</t>
        </r>
      </text>
    </comment>
    <comment ref="A43" authorId="1" shapeId="0" xr:uid="{37E5AFC5-B6CC-4292-BC21-30CE0374CD16}">
      <text>
        <r>
          <rPr>
            <b/>
            <sz val="8"/>
            <color indexed="81"/>
            <rFont val="Calibri"/>
            <family val="2"/>
          </rPr>
          <t>Entitled to overtime (approval required)</t>
        </r>
      </text>
    </comment>
    <comment ref="A44" authorId="1" shapeId="0" xr:uid="{B28A51DB-BE03-4F00-979E-2240CA0A9E44}">
      <text>
        <r>
          <rPr>
            <b/>
            <sz val="8"/>
            <color indexed="81"/>
            <rFont val="Calibri"/>
            <family val="2"/>
          </rPr>
          <t>Entitled to overtime (approval required)</t>
        </r>
      </text>
    </comment>
    <comment ref="AM48" authorId="0" shapeId="0" xr:uid="{62DA77D3-1B41-44E3-B0B9-B5B8C252ACB2}">
      <text>
        <r>
          <rPr>
            <b/>
            <sz val="8"/>
            <color indexed="81"/>
            <rFont val="Calibri"/>
            <family val="2"/>
          </rPr>
          <t>On call hours of the first day of the following month that are calculated to the previous day.
In December you can manually enter on call hours between 00:00 and 08:00 worked on the 1st January of the following year.
In all other months the value is calculated and shan't be overwritten.</t>
        </r>
      </text>
    </comment>
    <comment ref="AH57" authorId="2" shapeId="0" xr:uid="{9221C2BD-D077-4C89-9D4B-A7644B5D806C}">
      <text>
        <r>
          <rPr>
            <b/>
            <sz val="8"/>
            <color indexed="81"/>
            <rFont val="Calibri"/>
            <family val="2"/>
          </rPr>
          <t>Please indicate with "+" or "-" if correction is plus or minus.</t>
        </r>
      </text>
    </comment>
    <comment ref="AL58" authorId="0" shapeId="0" xr:uid="{82C80248-F70F-40D1-B3D9-27C7B849B7DC}">
      <text>
        <r>
          <rPr>
            <b/>
            <sz val="8"/>
            <color indexed="81"/>
            <rFont val="Calibri"/>
            <family val="2"/>
          </rPr>
          <t>These hours are already included in the monthly total</t>
        </r>
      </text>
    </comment>
    <comment ref="AG63" authorId="3" shapeId="0" xr:uid="{CD42C545-544D-4570-8546-49A762BF0EF4}">
      <text>
        <r>
          <rPr>
            <b/>
            <sz val="8"/>
            <color indexed="81"/>
            <rFont val="Calibri"/>
            <family val="2"/>
          </rPr>
          <t>Supplement of 25% on ordered overtime applies up to pay category 16 according to §127 VVO.
Entitled employees choose "Yes" in field "Supplement on Overtime entitled" on worksheet "Eingabeblatt"
Pay category 17 and up has to compensate overtime 1.1.
No supplement for 50 hours &amp; Vetsuisse.</t>
        </r>
      </text>
    </comment>
    <comment ref="AH64" authorId="2" shapeId="0" xr:uid="{38DDB782-B24A-4627-AE04-3EF75B1E9695}">
      <text>
        <r>
          <rPr>
            <b/>
            <sz val="8"/>
            <color indexed="81"/>
            <rFont val="Calibri"/>
            <family val="2"/>
          </rPr>
          <t>Please indicate with "+" or "-" if correction is plus or minus.</t>
        </r>
      </text>
    </comment>
    <comment ref="AJ72" authorId="1" shapeId="0" xr:uid="{A35ACD8B-3AFB-44C7-BF66-5CF8D9FABE9E}">
      <text>
        <r>
          <rPr>
            <b/>
            <sz val="8"/>
            <color indexed="81"/>
            <rFont val="Calibri"/>
            <family val="2"/>
          </rPr>
          <t>Number of planned night shifts</t>
        </r>
      </text>
    </comment>
    <comment ref="AJ73" authorId="0" shapeId="0" xr:uid="{AD09EB90-5420-4E53-B292-F8AEF0157CD6}">
      <text>
        <r>
          <rPr>
            <b/>
            <sz val="8"/>
            <color indexed="81"/>
            <rFont val="Calibri"/>
            <family val="2"/>
          </rPr>
          <t>Number of days with night shifts.
50 hours &amp; Vetsuisse: according to out time 24:00
ServiceCenter Irchel: planned night shifts
Others: every night shift counts</t>
        </r>
      </text>
    </comment>
    <comment ref="AM76" authorId="0" shapeId="0" xr:uid="{68B04CE4-506D-4EF2-8395-8FA0C29C800A}">
      <text>
        <r>
          <rPr>
            <b/>
            <sz val="8"/>
            <color indexed="81"/>
            <rFont val="Calibri"/>
            <family val="2"/>
          </rPr>
          <t>Night shift hours of the first day of the following month that are calculated to the previous day.
In December you can manually enter night shift hours between 00:00 and 06:00 worked on the 1st January of the following year.
In all other months the value is calculated and shan't be overwritten.</t>
        </r>
      </text>
    </comment>
    <comment ref="AN79" authorId="0" shapeId="0" xr:uid="{5E4ACCE2-0E39-48F8-A4A9-6C70237DFFB7}">
      <text>
        <r>
          <rPr>
            <b/>
            <sz val="8"/>
            <color indexed="81"/>
            <rFont val="Calibri"/>
            <family val="2"/>
          </rPr>
          <t>Any compensation during this month is deducted here.</t>
        </r>
      </text>
    </comment>
    <comment ref="AJ82" authorId="0" shapeId="0" xr:uid="{F88C31CF-488E-4919-8CFB-03AACCAD067D}">
      <text>
        <r>
          <rPr>
            <b/>
            <sz val="8"/>
            <color indexed="81"/>
            <rFont val="Calibri"/>
            <family val="2"/>
          </rPr>
          <t>Number of Saturday/Sunday shifts</t>
        </r>
      </text>
    </comment>
    <comment ref="AH85" authorId="2" shapeId="0" xr:uid="{24FC7E8C-C391-49F1-91F5-096C6BE29BE2}">
      <text>
        <r>
          <rPr>
            <b/>
            <sz val="8"/>
            <color indexed="81"/>
            <rFont val="Calibri"/>
            <family val="2"/>
          </rPr>
          <t>Please indicate with "+" or "-" if correction is plus or minus.</t>
        </r>
      </text>
    </comment>
    <comment ref="A97" authorId="2" shapeId="0" xr:uid="{0E0ABAE5-E2D1-4707-854C-A885AF86881E}">
      <text>
        <r>
          <rPr>
            <b/>
            <sz val="8"/>
            <color indexed="81"/>
            <rFont val="Calibri"/>
            <family val="2"/>
          </rPr>
          <t>Project description must be specified on the worksheet "Eingabeblatt".</t>
        </r>
      </text>
    </comment>
    <comment ref="A98" authorId="2" shapeId="0" xr:uid="{78749BDB-3161-4934-9F22-388744D28384}">
      <text>
        <r>
          <rPr>
            <b/>
            <sz val="8"/>
            <color indexed="81"/>
            <rFont val="Calibri"/>
            <family val="2"/>
          </rPr>
          <t>Project description must be specified on the worksheet "Eingabeblatt".</t>
        </r>
      </text>
    </comment>
    <comment ref="A99" authorId="2" shapeId="0" xr:uid="{5E56DF21-AC93-4E11-89DC-DA437FBE462D}">
      <text>
        <r>
          <rPr>
            <b/>
            <sz val="8"/>
            <color indexed="81"/>
            <rFont val="Calibri"/>
            <family val="2"/>
          </rPr>
          <t>Project description must be specified on the worksheet "Eingabeblatt".</t>
        </r>
      </text>
    </comment>
    <comment ref="A100" authorId="2" shapeId="0" xr:uid="{03FFCFEF-A5DD-45F8-AE3E-9978F19E5D1B}">
      <text>
        <r>
          <rPr>
            <b/>
            <sz val="8"/>
            <color indexed="81"/>
            <rFont val="Calibri"/>
            <family val="2"/>
          </rPr>
          <t>Project description must be specified on the worksheet "Eingabeblatt".</t>
        </r>
      </text>
    </comment>
    <comment ref="A101" authorId="2" shapeId="0" xr:uid="{8DEE8956-5348-43E3-849C-4E4EAFC6FDB1}">
      <text>
        <r>
          <rPr>
            <b/>
            <sz val="8"/>
            <color indexed="81"/>
            <rFont val="Calibri"/>
            <family val="2"/>
          </rPr>
          <t>Project description must be specified on the worksheet "Eingabeblatt".</t>
        </r>
      </text>
    </comment>
    <comment ref="A102" authorId="2" shapeId="0" xr:uid="{B3F95C63-3158-4E3D-B7BD-B047A72438AA}">
      <text>
        <r>
          <rPr>
            <b/>
            <sz val="8"/>
            <color indexed="81"/>
            <rFont val="Calibri"/>
            <family val="2"/>
          </rPr>
          <t>Project description must be specified on the worksheet "Eingabeblatt".</t>
        </r>
      </text>
    </comment>
    <comment ref="A103" authorId="2" shapeId="0" xr:uid="{C1CBDB94-1816-49A1-976E-C250D3BEC3B3}">
      <text>
        <r>
          <rPr>
            <b/>
            <sz val="8"/>
            <color indexed="81"/>
            <rFont val="Calibri"/>
            <family val="2"/>
          </rPr>
          <t>Project description must be specified on the worksheet "Eingabeblatt".</t>
        </r>
      </text>
    </comment>
    <comment ref="A104" authorId="2" shapeId="0" xr:uid="{234A1A54-1EF7-4C4D-987F-E6959B819841}">
      <text>
        <r>
          <rPr>
            <b/>
            <sz val="8"/>
            <color indexed="81"/>
            <rFont val="Calibri"/>
            <family val="2"/>
          </rPr>
          <t>Project description must be specified on the worksheet "Eingabeblatt".</t>
        </r>
      </text>
    </comment>
    <comment ref="A105" authorId="2" shapeId="0" xr:uid="{2EDE743A-FE73-4F9B-945B-9F9700ACB318}">
      <text>
        <r>
          <rPr>
            <b/>
            <sz val="8"/>
            <color indexed="81"/>
            <rFont val="Calibri"/>
            <family val="2"/>
          </rPr>
          <t>Project description must be specified on the worksheet "Eingabeblatt".</t>
        </r>
      </text>
    </comment>
    <comment ref="A106" authorId="2" shapeId="0" xr:uid="{B6DB609D-68FE-4CE7-89AA-9B6F48D50060}">
      <text>
        <r>
          <rPr>
            <b/>
            <sz val="8"/>
            <color indexed="81"/>
            <rFont val="Calibri"/>
            <family val="2"/>
          </rPr>
          <t>Project description must be specified on the worksheet "Eingabeblatt".</t>
        </r>
      </text>
    </comment>
    <comment ref="A107" authorId="2" shapeId="0" xr:uid="{2D563748-5D87-410A-B913-554CFD6EC207}">
      <text>
        <r>
          <rPr>
            <b/>
            <sz val="8"/>
            <color indexed="81"/>
            <rFont val="Calibri"/>
            <family val="2"/>
          </rPr>
          <t>Project description must be specified on the worksheet "Eingabeblatt".</t>
        </r>
      </text>
    </comment>
    <comment ref="A108" authorId="2" shapeId="0" xr:uid="{6990CAA1-3F5F-4560-A0A7-DCF19C4BBB54}">
      <text>
        <r>
          <rPr>
            <b/>
            <sz val="8"/>
            <color indexed="81"/>
            <rFont val="Calibri"/>
            <family val="2"/>
          </rPr>
          <t>Project description must be specified on the worksheet "Eingabeblatt".</t>
        </r>
      </text>
    </comment>
    <comment ref="A109" authorId="2" shapeId="0" xr:uid="{04F5D533-8BBF-4DB0-B270-C7FBC4DF414C}">
      <text>
        <r>
          <rPr>
            <b/>
            <sz val="8"/>
            <color indexed="81"/>
            <rFont val="Calibri"/>
            <family val="2"/>
          </rPr>
          <t>Project description must be specified on the worksheet "Eingabeblatt".</t>
        </r>
      </text>
    </comment>
    <comment ref="A110" authorId="2" shapeId="0" xr:uid="{FE331C00-7E5D-4A2D-9465-AB37ABF1C5F4}">
      <text>
        <r>
          <rPr>
            <b/>
            <sz val="8"/>
            <color indexed="81"/>
            <rFont val="Calibri"/>
            <family val="2"/>
          </rPr>
          <t>Project description must be specified on the worksheet "Eingabeblatt".</t>
        </r>
      </text>
    </comment>
    <comment ref="A111" authorId="2" shapeId="0" xr:uid="{BC00E077-E729-4ABB-8AB1-ADCE83112F50}">
      <text>
        <r>
          <rPr>
            <b/>
            <sz val="8"/>
            <color indexed="81"/>
            <rFont val="Calibri"/>
            <family val="2"/>
          </rPr>
          <t>Project description must be specified on the worksheet "Eingabeblatt".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Jeannette Hügli</author>
    <author>Peter von Ballmoos</author>
    <author>--</author>
    <author>Filipovic Stojan ABRAXAS INFORMATIK AG</author>
  </authors>
  <commentList>
    <comment ref="AN10" authorId="0" shapeId="0" xr:uid="{39D4AA92-0309-447F-AF37-F0D4348757D7}">
      <text>
        <r>
          <rPr>
            <b/>
            <sz val="8"/>
            <color indexed="81"/>
            <rFont val="Calibri"/>
            <family val="2"/>
          </rPr>
          <t>Yearly balance
The first figure shows the balance by the end of the month.
The second figure shows the today's current balance by the
end of the year.</t>
        </r>
      </text>
    </comment>
    <comment ref="AI34" authorId="1" shapeId="0" xr:uid="{FCE2D646-AF97-4297-BCB1-C09BC9A57EB8}">
      <text>
        <r>
          <rPr>
            <b/>
            <sz val="8"/>
            <color indexed="81"/>
            <rFont val="Calibri"/>
            <family val="2"/>
          </rPr>
          <t>Either: on call days at weekdays / weekends and public holidays / Sum
Or: (50 hours &amp; Vetsuisse): number of on call days below 5 h / above 5 h / Sum</t>
        </r>
      </text>
    </comment>
    <comment ref="A35" authorId="1" shapeId="0" xr:uid="{12E4437F-6941-4C00-9BB2-058ACE611054}">
      <text>
        <r>
          <rPr>
            <b/>
            <sz val="8"/>
            <color indexed="81"/>
            <rFont val="Calibri"/>
            <family val="2"/>
          </rPr>
          <t>Entitled to overtime (approval required)</t>
        </r>
      </text>
    </comment>
    <comment ref="A36" authorId="1" shapeId="0" xr:uid="{711424BA-0E28-4425-9BAD-8E5AE3E3E65E}">
      <text>
        <r>
          <rPr>
            <b/>
            <sz val="8"/>
            <color indexed="81"/>
            <rFont val="Calibri"/>
            <family val="2"/>
          </rPr>
          <t>Entitled to overtime (approval required)</t>
        </r>
      </text>
    </comment>
    <comment ref="A37" authorId="1" shapeId="0" xr:uid="{38BDBD05-334B-4363-A571-D1D4665D4D87}">
      <text>
        <r>
          <rPr>
            <b/>
            <sz val="8"/>
            <color indexed="81"/>
            <rFont val="Calibri"/>
            <family val="2"/>
          </rPr>
          <t>Entitled to overtime (approval required)</t>
        </r>
      </text>
    </comment>
    <comment ref="A38" authorId="1" shapeId="0" xr:uid="{2912EBB3-D42D-4597-9E76-85B4E011750E}">
      <text>
        <r>
          <rPr>
            <b/>
            <sz val="8"/>
            <color indexed="81"/>
            <rFont val="Calibri"/>
            <family val="2"/>
          </rPr>
          <t>Entitled to overtime (approval required)</t>
        </r>
      </text>
    </comment>
    <comment ref="A39" authorId="1" shapeId="0" xr:uid="{EEED56F9-F9C0-4064-BF9B-9ED68D397434}">
      <text>
        <r>
          <rPr>
            <b/>
            <sz val="8"/>
            <color indexed="81"/>
            <rFont val="Calibri"/>
            <family val="2"/>
          </rPr>
          <t>Entitled to overtime (approval required)</t>
        </r>
      </text>
    </comment>
    <comment ref="A40" authorId="1" shapeId="0" xr:uid="{4767DCE6-FEBC-4540-A45A-39251D5489F3}">
      <text>
        <r>
          <rPr>
            <b/>
            <sz val="8"/>
            <color indexed="81"/>
            <rFont val="Calibri"/>
            <family val="2"/>
          </rPr>
          <t>Entitled to overtime (approval required)</t>
        </r>
      </text>
    </comment>
    <comment ref="A41" authorId="1" shapeId="0" xr:uid="{5354405A-4EF6-47BB-99FC-77D6C789BFC0}">
      <text>
        <r>
          <rPr>
            <b/>
            <sz val="8"/>
            <color indexed="81"/>
            <rFont val="Calibri"/>
            <family val="2"/>
          </rPr>
          <t>Entitled to overtime (approval required)</t>
        </r>
      </text>
    </comment>
    <comment ref="A42" authorId="1" shapeId="0" xr:uid="{643225FD-24F5-48BD-A5F0-B184A4B8B81D}">
      <text>
        <r>
          <rPr>
            <b/>
            <sz val="8"/>
            <color indexed="81"/>
            <rFont val="Calibri"/>
            <family val="2"/>
          </rPr>
          <t>Entitled to overtime (approval required)</t>
        </r>
      </text>
    </comment>
    <comment ref="A43" authorId="1" shapeId="0" xr:uid="{3EBB46AB-4A02-4418-9FE2-9CEF633579AA}">
      <text>
        <r>
          <rPr>
            <b/>
            <sz val="8"/>
            <color indexed="81"/>
            <rFont val="Calibri"/>
            <family val="2"/>
          </rPr>
          <t>Entitled to overtime (approval required)</t>
        </r>
      </text>
    </comment>
    <comment ref="A44" authorId="1" shapeId="0" xr:uid="{BB43E299-17C5-4CA1-8145-EF7B6BA1EA1C}">
      <text>
        <r>
          <rPr>
            <b/>
            <sz val="8"/>
            <color indexed="81"/>
            <rFont val="Calibri"/>
            <family val="2"/>
          </rPr>
          <t>Entitled to overtime (approval required)</t>
        </r>
      </text>
    </comment>
    <comment ref="AL48" authorId="0" shapeId="0" xr:uid="{C275EBD3-A99C-46BE-AFFF-B0FA0F9491C6}">
      <text>
        <r>
          <rPr>
            <b/>
            <sz val="8"/>
            <color indexed="81"/>
            <rFont val="Calibri"/>
            <family val="2"/>
          </rPr>
          <t>On call hours of the first day of the following month that are calculated to the previous day.
In December you can manually enter on call hours between 00:00 and 08:00 worked on the 1st January of the following year.
In all other months the value is calculated and shan't be overwritten.</t>
        </r>
      </text>
    </comment>
    <comment ref="AG57" authorId="2" shapeId="0" xr:uid="{56F75DFE-E655-4EB7-B6FC-D1B9C53227E9}">
      <text>
        <r>
          <rPr>
            <b/>
            <sz val="8"/>
            <color indexed="81"/>
            <rFont val="Calibri"/>
            <family val="2"/>
          </rPr>
          <t>Please indicate with "+" or "-" if correction is plus or minus.</t>
        </r>
      </text>
    </comment>
    <comment ref="AK58" authorId="0" shapeId="0" xr:uid="{C7387D04-12B1-486D-A337-3FFCFFCE86B9}">
      <text>
        <r>
          <rPr>
            <b/>
            <sz val="8"/>
            <color indexed="81"/>
            <rFont val="Calibri"/>
            <family val="2"/>
          </rPr>
          <t>These hours are already included in the monthly total</t>
        </r>
      </text>
    </comment>
    <comment ref="AF63" authorId="3" shapeId="0" xr:uid="{768EC861-43FB-4147-BA0F-53BBDEB6847B}">
      <text>
        <r>
          <rPr>
            <b/>
            <sz val="8"/>
            <color indexed="81"/>
            <rFont val="Calibri"/>
            <family val="2"/>
          </rPr>
          <t>Supplement of 25% on ordered overtime applies up to pay category 16 according to §127 VVO.
Entitled employees choose "Yes" in field "Supplement on Overtime entitled" on worksheet "Eingabeblatt"
Pay category 17 and up has to compensate overtime 1.1.
No supplement for 50 hours &amp; Vetsuisse.</t>
        </r>
      </text>
    </comment>
    <comment ref="AG64" authorId="2" shapeId="0" xr:uid="{B586A1E1-0C29-4B48-B29D-261EF3A1EDA8}">
      <text>
        <r>
          <rPr>
            <b/>
            <sz val="8"/>
            <color indexed="81"/>
            <rFont val="Calibri"/>
            <family val="2"/>
          </rPr>
          <t>Please indicate with "+" or "-" if correction is plus or minus.</t>
        </r>
      </text>
    </comment>
    <comment ref="AI72" authorId="1" shapeId="0" xr:uid="{2B69BAE4-CC2F-4799-BCFE-957CDC317D70}">
      <text>
        <r>
          <rPr>
            <b/>
            <sz val="8"/>
            <color indexed="81"/>
            <rFont val="Calibri"/>
            <family val="2"/>
          </rPr>
          <t>Number of planned night shifts</t>
        </r>
      </text>
    </comment>
    <comment ref="AI73" authorId="0" shapeId="0" xr:uid="{97CAD69D-FDC0-4417-AAA6-AB0E3F502176}">
      <text>
        <r>
          <rPr>
            <b/>
            <sz val="8"/>
            <color indexed="81"/>
            <rFont val="Calibri"/>
            <family val="2"/>
          </rPr>
          <t>Number of days with night shifts.
50 hours &amp; Vetsuisse: according to out time 24:00
ServiceCenter Irchel: planned night shifts
Others: every night shift counts</t>
        </r>
      </text>
    </comment>
    <comment ref="AL76" authorId="0" shapeId="0" xr:uid="{5F954AA2-6262-47D1-A0DF-AA3882A18188}">
      <text>
        <r>
          <rPr>
            <b/>
            <sz val="8"/>
            <color indexed="81"/>
            <rFont val="Calibri"/>
            <family val="2"/>
          </rPr>
          <t>Night shift hours of the first day of the following month that are calculated to the previous day.
In December you can manually enter night shift hours between 00:00 and 06:00 worked on the 1st January of the following year.
In all other months the value is calculated and shan't be overwritten.</t>
        </r>
      </text>
    </comment>
    <comment ref="AM79" authorId="0" shapeId="0" xr:uid="{9861C206-5F34-4E8F-B0BC-3F967D5C26FA}">
      <text>
        <r>
          <rPr>
            <b/>
            <sz val="8"/>
            <color indexed="81"/>
            <rFont val="Calibri"/>
            <family val="2"/>
          </rPr>
          <t>Any compensation during this month is deducted here.</t>
        </r>
      </text>
    </comment>
    <comment ref="AI82" authorId="0" shapeId="0" xr:uid="{B9C0101E-2E8F-4B87-B05B-C263FFA103A0}">
      <text>
        <r>
          <rPr>
            <b/>
            <sz val="8"/>
            <color indexed="81"/>
            <rFont val="Calibri"/>
            <family val="2"/>
          </rPr>
          <t>Number of Saturday/Sunday shifts</t>
        </r>
      </text>
    </comment>
    <comment ref="AG85" authorId="2" shapeId="0" xr:uid="{A1A00844-8167-4EEA-A9C6-567BD7B1B501}">
      <text>
        <r>
          <rPr>
            <b/>
            <sz val="8"/>
            <color indexed="81"/>
            <rFont val="Calibri"/>
            <family val="2"/>
          </rPr>
          <t>Please indicate with "+" or "-" if correction is plus or minus.</t>
        </r>
      </text>
    </comment>
    <comment ref="A97" authorId="2" shapeId="0" xr:uid="{9CBBF0C4-CC55-4217-9624-259FCDFF82A7}">
      <text>
        <r>
          <rPr>
            <b/>
            <sz val="8"/>
            <color indexed="81"/>
            <rFont val="Calibri"/>
            <family val="2"/>
          </rPr>
          <t>Project description must be specified on the worksheet "Eingabeblatt".</t>
        </r>
      </text>
    </comment>
    <comment ref="A98" authorId="2" shapeId="0" xr:uid="{CF94D4FF-751A-44B5-A6D0-9CADA10F2375}">
      <text>
        <r>
          <rPr>
            <b/>
            <sz val="8"/>
            <color indexed="81"/>
            <rFont val="Calibri"/>
            <family val="2"/>
          </rPr>
          <t>Project description must be specified on the worksheet "Eingabeblatt".</t>
        </r>
      </text>
    </comment>
    <comment ref="A99" authorId="2" shapeId="0" xr:uid="{D8CF1096-069E-425E-B053-0F20FE483AB1}">
      <text>
        <r>
          <rPr>
            <b/>
            <sz val="8"/>
            <color indexed="81"/>
            <rFont val="Calibri"/>
            <family val="2"/>
          </rPr>
          <t>Project description must be specified on the worksheet "Eingabeblatt".</t>
        </r>
      </text>
    </comment>
    <comment ref="A100" authorId="2" shapeId="0" xr:uid="{CAE44353-9B27-4DEE-B223-1D5068341642}">
      <text>
        <r>
          <rPr>
            <b/>
            <sz val="8"/>
            <color indexed="81"/>
            <rFont val="Calibri"/>
            <family val="2"/>
          </rPr>
          <t>Project description must be specified on the worksheet "Eingabeblatt".</t>
        </r>
      </text>
    </comment>
    <comment ref="A101" authorId="2" shapeId="0" xr:uid="{5C9EBE6F-2E81-4AAD-BA23-B133BA04474D}">
      <text>
        <r>
          <rPr>
            <b/>
            <sz val="8"/>
            <color indexed="81"/>
            <rFont val="Calibri"/>
            <family val="2"/>
          </rPr>
          <t>Project description must be specified on the worksheet "Eingabeblatt".</t>
        </r>
      </text>
    </comment>
    <comment ref="A102" authorId="2" shapeId="0" xr:uid="{C25E32D8-C4C9-49C2-B3B6-C08CFB9F0EBF}">
      <text>
        <r>
          <rPr>
            <b/>
            <sz val="8"/>
            <color indexed="81"/>
            <rFont val="Calibri"/>
            <family val="2"/>
          </rPr>
          <t>Project description must be specified on the worksheet "Eingabeblatt".</t>
        </r>
      </text>
    </comment>
    <comment ref="A103" authorId="2" shapeId="0" xr:uid="{D635A5D7-5CB1-4058-AB19-9DE07D2CF5C5}">
      <text>
        <r>
          <rPr>
            <b/>
            <sz val="8"/>
            <color indexed="81"/>
            <rFont val="Calibri"/>
            <family val="2"/>
          </rPr>
          <t>Project description must be specified on the worksheet "Eingabeblatt".</t>
        </r>
      </text>
    </comment>
    <comment ref="A104" authorId="2" shapeId="0" xr:uid="{CC31049A-F8FC-4093-9AB3-D5019B930F31}">
      <text>
        <r>
          <rPr>
            <b/>
            <sz val="8"/>
            <color indexed="81"/>
            <rFont val="Calibri"/>
            <family val="2"/>
          </rPr>
          <t>Project description must be specified on the worksheet "Eingabeblatt".</t>
        </r>
      </text>
    </comment>
    <comment ref="A105" authorId="2" shapeId="0" xr:uid="{B4C064CF-8844-4674-9BAF-78D64491BDD0}">
      <text>
        <r>
          <rPr>
            <b/>
            <sz val="8"/>
            <color indexed="81"/>
            <rFont val="Calibri"/>
            <family val="2"/>
          </rPr>
          <t>Project description must be specified on the worksheet "Eingabeblatt".</t>
        </r>
      </text>
    </comment>
    <comment ref="A106" authorId="2" shapeId="0" xr:uid="{311AF478-780A-48B8-A3E6-7F170515655E}">
      <text>
        <r>
          <rPr>
            <b/>
            <sz val="8"/>
            <color indexed="81"/>
            <rFont val="Calibri"/>
            <family val="2"/>
          </rPr>
          <t>Project description must be specified on the worksheet "Eingabeblatt".</t>
        </r>
      </text>
    </comment>
    <comment ref="A107" authorId="2" shapeId="0" xr:uid="{4779A874-B36D-4C69-BEE9-822B4FBFD44D}">
      <text>
        <r>
          <rPr>
            <b/>
            <sz val="8"/>
            <color indexed="81"/>
            <rFont val="Calibri"/>
            <family val="2"/>
          </rPr>
          <t>Project description must be specified on the worksheet "Eingabeblatt".</t>
        </r>
      </text>
    </comment>
    <comment ref="A108" authorId="2" shapeId="0" xr:uid="{EBC03958-71DF-473C-B2DA-A594BDF9F3E3}">
      <text>
        <r>
          <rPr>
            <b/>
            <sz val="8"/>
            <color indexed="81"/>
            <rFont val="Calibri"/>
            <family val="2"/>
          </rPr>
          <t>Project description must be specified on the worksheet "Eingabeblatt".</t>
        </r>
      </text>
    </comment>
    <comment ref="A109" authorId="2" shapeId="0" xr:uid="{884AB7CA-E396-49F9-97C2-F7E939D6FC46}">
      <text>
        <r>
          <rPr>
            <b/>
            <sz val="8"/>
            <color indexed="81"/>
            <rFont val="Calibri"/>
            <family val="2"/>
          </rPr>
          <t>Project description must be specified on the worksheet "Eingabeblatt".</t>
        </r>
      </text>
    </comment>
    <comment ref="A110" authorId="2" shapeId="0" xr:uid="{2BF158AE-CF2E-4D7A-B15E-6B594E14B731}">
      <text>
        <r>
          <rPr>
            <b/>
            <sz val="8"/>
            <color indexed="81"/>
            <rFont val="Calibri"/>
            <family val="2"/>
          </rPr>
          <t>Project description must be specified on the worksheet "Eingabeblatt".</t>
        </r>
      </text>
    </comment>
    <comment ref="A111" authorId="2" shapeId="0" xr:uid="{97645A35-47B3-4C70-B840-E8EE7488876F}">
      <text>
        <r>
          <rPr>
            <b/>
            <sz val="8"/>
            <color indexed="81"/>
            <rFont val="Calibri"/>
            <family val="2"/>
          </rPr>
          <t>Project description must be specified on the worksheet "Eingabeblatt".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Jeannette Hügli</author>
    <author>Peter von Ballmoos</author>
    <author>--</author>
    <author>Filipovic Stojan ABRAXAS INFORMATIK AG</author>
  </authors>
  <commentList>
    <comment ref="AO10" authorId="0" shapeId="0" xr:uid="{C1B70426-EEE1-41CD-9197-C0F6F1FF8D42}">
      <text>
        <r>
          <rPr>
            <b/>
            <sz val="8"/>
            <color indexed="81"/>
            <rFont val="Calibri"/>
            <family val="2"/>
          </rPr>
          <t>Yearly balance
The first figure shows the balance by the end of the month.
The second figure shows the today's current balance by the
end of the year.</t>
        </r>
      </text>
    </comment>
    <comment ref="AJ34" authorId="1" shapeId="0" xr:uid="{6F10D577-ECB7-449D-B134-AD2645D23795}">
      <text>
        <r>
          <rPr>
            <b/>
            <sz val="8"/>
            <color indexed="81"/>
            <rFont val="Calibri"/>
            <family val="2"/>
          </rPr>
          <t>Either: on call days at weekdays / weekends and public holidays / Sum
Or: (50 hours &amp; Vetsuisse): number of on call days below 5 h / above 5 h / Sum</t>
        </r>
      </text>
    </comment>
    <comment ref="A35" authorId="1" shapeId="0" xr:uid="{895E33AF-2FA5-45AB-84D0-A6A17DA6DEFE}">
      <text>
        <r>
          <rPr>
            <b/>
            <sz val="8"/>
            <color indexed="81"/>
            <rFont val="Calibri"/>
            <family val="2"/>
          </rPr>
          <t>Entitled to overtime (approval required)</t>
        </r>
      </text>
    </comment>
    <comment ref="A36" authorId="1" shapeId="0" xr:uid="{44B9F506-FE4B-448F-B61B-EE719B9344E7}">
      <text>
        <r>
          <rPr>
            <b/>
            <sz val="8"/>
            <color indexed="81"/>
            <rFont val="Calibri"/>
            <family val="2"/>
          </rPr>
          <t>Entitled to overtime (approval required)</t>
        </r>
      </text>
    </comment>
    <comment ref="A37" authorId="1" shapeId="0" xr:uid="{1965818A-AE49-4E95-A25C-4DC9E32EA5F6}">
      <text>
        <r>
          <rPr>
            <b/>
            <sz val="8"/>
            <color indexed="81"/>
            <rFont val="Calibri"/>
            <family val="2"/>
          </rPr>
          <t>Entitled to overtime (approval required)</t>
        </r>
      </text>
    </comment>
    <comment ref="A38" authorId="1" shapeId="0" xr:uid="{CDFD11D8-6B5B-47A6-8D63-319DEAFF0F87}">
      <text>
        <r>
          <rPr>
            <b/>
            <sz val="8"/>
            <color indexed="81"/>
            <rFont val="Calibri"/>
            <family val="2"/>
          </rPr>
          <t>Entitled to overtime (approval required)</t>
        </r>
      </text>
    </comment>
    <comment ref="A39" authorId="1" shapeId="0" xr:uid="{6031CCD2-48B5-4812-9A95-8355EF5465B1}">
      <text>
        <r>
          <rPr>
            <b/>
            <sz val="8"/>
            <color indexed="81"/>
            <rFont val="Calibri"/>
            <family val="2"/>
          </rPr>
          <t>Entitled to overtime (approval required)</t>
        </r>
      </text>
    </comment>
    <comment ref="A40" authorId="1" shapeId="0" xr:uid="{C629CEFF-3AF1-4B64-BA4F-B181AC3DB033}">
      <text>
        <r>
          <rPr>
            <b/>
            <sz val="8"/>
            <color indexed="81"/>
            <rFont val="Calibri"/>
            <family val="2"/>
          </rPr>
          <t>Entitled to overtime (approval required)</t>
        </r>
      </text>
    </comment>
    <comment ref="A41" authorId="1" shapeId="0" xr:uid="{8DD07E72-20C0-495D-A69B-06F682B021EF}">
      <text>
        <r>
          <rPr>
            <b/>
            <sz val="8"/>
            <color indexed="81"/>
            <rFont val="Calibri"/>
            <family val="2"/>
          </rPr>
          <t>Entitled to overtime (approval required)</t>
        </r>
      </text>
    </comment>
    <comment ref="A42" authorId="1" shapeId="0" xr:uid="{4F0E08F4-76CD-4946-9DA2-3215D374250A}">
      <text>
        <r>
          <rPr>
            <b/>
            <sz val="8"/>
            <color indexed="81"/>
            <rFont val="Calibri"/>
            <family val="2"/>
          </rPr>
          <t>Entitled to overtime (approval required)</t>
        </r>
      </text>
    </comment>
    <comment ref="A43" authorId="1" shapeId="0" xr:uid="{532C3757-F82F-475C-9975-21A2F451E045}">
      <text>
        <r>
          <rPr>
            <b/>
            <sz val="8"/>
            <color indexed="81"/>
            <rFont val="Calibri"/>
            <family val="2"/>
          </rPr>
          <t>Entitled to overtime (approval required)</t>
        </r>
      </text>
    </comment>
    <comment ref="A44" authorId="1" shapeId="0" xr:uid="{AB2A85FE-73E9-48EE-B2FD-157E4F304F16}">
      <text>
        <r>
          <rPr>
            <b/>
            <sz val="8"/>
            <color indexed="81"/>
            <rFont val="Calibri"/>
            <family val="2"/>
          </rPr>
          <t>Entitled to overtime (approval required)</t>
        </r>
      </text>
    </comment>
    <comment ref="AM48" authorId="0" shapeId="0" xr:uid="{0CAE5DB9-8B0E-4D45-9E69-58D1CE957A28}">
      <text>
        <r>
          <rPr>
            <b/>
            <sz val="8"/>
            <color indexed="81"/>
            <rFont val="Calibri"/>
            <family val="2"/>
          </rPr>
          <t>On call hours of the first day of the following month that are calculated to the previous day.
In December you can manually enter on call hours between 00:00 and 08:00 worked on the 1st January of the following year.
In all other months the value is calculated and shan't be overwritten.</t>
        </r>
      </text>
    </comment>
    <comment ref="AH57" authorId="2" shapeId="0" xr:uid="{FE61485B-F062-4558-94E8-B133062A3E4C}">
      <text>
        <r>
          <rPr>
            <b/>
            <sz val="8"/>
            <color indexed="81"/>
            <rFont val="Calibri"/>
            <family val="2"/>
          </rPr>
          <t>Please indicate with "+" or "-" if correction is plus or minus.</t>
        </r>
      </text>
    </comment>
    <comment ref="AL58" authorId="0" shapeId="0" xr:uid="{55211557-FC5B-4824-BB7B-B3A2590E7481}">
      <text>
        <r>
          <rPr>
            <b/>
            <sz val="8"/>
            <color indexed="81"/>
            <rFont val="Calibri"/>
            <family val="2"/>
          </rPr>
          <t>These hours are already included in the monthly total</t>
        </r>
      </text>
    </comment>
    <comment ref="AG63" authorId="3" shapeId="0" xr:uid="{D3ACFA66-4FE7-4A29-AE28-F3461CDCE5A2}">
      <text>
        <r>
          <rPr>
            <b/>
            <sz val="8"/>
            <color indexed="81"/>
            <rFont val="Calibri"/>
            <family val="2"/>
          </rPr>
          <t>Supplement of 25% on ordered overtime applies up to pay category 16 according to §127 VVO.
Entitled employees choose "Yes" in field "Supplement on Overtime entitled" on worksheet "Eingabeblatt"
Pay category 17 and up has to compensate overtime 1.1.
No supplement for 50 hours &amp; Vetsuisse.</t>
        </r>
      </text>
    </comment>
    <comment ref="AH64" authorId="2" shapeId="0" xr:uid="{7D51E2E3-0AC3-44B4-9EFF-FC0437D71F90}">
      <text>
        <r>
          <rPr>
            <b/>
            <sz val="8"/>
            <color indexed="81"/>
            <rFont val="Calibri"/>
            <family val="2"/>
          </rPr>
          <t>Please indicate with "+" or "-" if correction is plus or minus.</t>
        </r>
      </text>
    </comment>
    <comment ref="AJ72" authorId="1" shapeId="0" xr:uid="{29348CA7-DB29-4865-98CA-711AE0C45776}">
      <text>
        <r>
          <rPr>
            <b/>
            <sz val="8"/>
            <color indexed="81"/>
            <rFont val="Calibri"/>
            <family val="2"/>
          </rPr>
          <t>Number of planned night shifts</t>
        </r>
      </text>
    </comment>
    <comment ref="AJ73" authorId="0" shapeId="0" xr:uid="{BC375193-B868-4EA1-8705-5FEE3058D294}">
      <text>
        <r>
          <rPr>
            <b/>
            <sz val="8"/>
            <color indexed="81"/>
            <rFont val="Calibri"/>
            <family val="2"/>
          </rPr>
          <t>Number of days with night shifts.
50 hours &amp; Vetsuisse: according to out time 24:00
ServiceCenter Irchel: planned night shifts
Others: every night shift counts</t>
        </r>
      </text>
    </comment>
    <comment ref="AM76" authorId="0" shapeId="0" xr:uid="{F5D2C2FA-0CC6-476A-95FA-582AEF57F9FE}">
      <text>
        <r>
          <rPr>
            <b/>
            <sz val="8"/>
            <color indexed="81"/>
            <rFont val="Calibri"/>
            <family val="2"/>
          </rPr>
          <t>Night shift hours of the first day of the following month that are calculated to the previous day.
In December you can manually enter night shift hours between 00:00 and 06:00 worked on the 1st January of the following year.
In all other months the value is calculated and shan't be overwritten.</t>
        </r>
      </text>
    </comment>
    <comment ref="AN79" authorId="0" shapeId="0" xr:uid="{08600C3A-8E1C-4BF4-9454-60E16C8B5B8F}">
      <text>
        <r>
          <rPr>
            <b/>
            <sz val="8"/>
            <color indexed="81"/>
            <rFont val="Calibri"/>
            <family val="2"/>
          </rPr>
          <t>Any compensation during this month is deducted here.</t>
        </r>
      </text>
    </comment>
    <comment ref="AJ82" authorId="0" shapeId="0" xr:uid="{A6E75C8F-1200-4BE9-B40A-43B15D54DE35}">
      <text>
        <r>
          <rPr>
            <b/>
            <sz val="8"/>
            <color indexed="81"/>
            <rFont val="Calibri"/>
            <family val="2"/>
          </rPr>
          <t>Number of Saturday/Sunday shifts</t>
        </r>
      </text>
    </comment>
    <comment ref="AH85" authorId="2" shapeId="0" xr:uid="{C95969E8-3573-4FC1-9130-34262FFC2659}">
      <text>
        <r>
          <rPr>
            <b/>
            <sz val="8"/>
            <color indexed="81"/>
            <rFont val="Calibri"/>
            <family val="2"/>
          </rPr>
          <t>Please indicate with "+" or "-" if correction is plus or minus.</t>
        </r>
      </text>
    </comment>
    <comment ref="A97" authorId="2" shapeId="0" xr:uid="{885E90CB-9731-45A5-A305-E1D0BAFA171D}">
      <text>
        <r>
          <rPr>
            <b/>
            <sz val="8"/>
            <color indexed="81"/>
            <rFont val="Calibri"/>
            <family val="2"/>
          </rPr>
          <t>Project description must be specified on the worksheet "Eingabeblatt".</t>
        </r>
      </text>
    </comment>
    <comment ref="A98" authorId="2" shapeId="0" xr:uid="{52E0581E-2E32-429E-95AF-224192022D1B}">
      <text>
        <r>
          <rPr>
            <b/>
            <sz val="8"/>
            <color indexed="81"/>
            <rFont val="Calibri"/>
            <family val="2"/>
          </rPr>
          <t>Project description must be specified on the worksheet "Eingabeblatt".</t>
        </r>
      </text>
    </comment>
    <comment ref="A99" authorId="2" shapeId="0" xr:uid="{412C88D3-38C0-47BA-B193-E1AD931CDA09}">
      <text>
        <r>
          <rPr>
            <b/>
            <sz val="8"/>
            <color indexed="81"/>
            <rFont val="Calibri"/>
            <family val="2"/>
          </rPr>
          <t>Project description must be specified on the worksheet "Eingabeblatt".</t>
        </r>
      </text>
    </comment>
    <comment ref="A100" authorId="2" shapeId="0" xr:uid="{6B9A7F5D-0D7B-45D1-AFEE-DA637EEEA898}">
      <text>
        <r>
          <rPr>
            <b/>
            <sz val="8"/>
            <color indexed="81"/>
            <rFont val="Calibri"/>
            <family val="2"/>
          </rPr>
          <t>Project description must be specified on the worksheet "Eingabeblatt".</t>
        </r>
      </text>
    </comment>
    <comment ref="A101" authorId="2" shapeId="0" xr:uid="{181B8C4A-C459-40AF-9A79-1A138FCBFE0D}">
      <text>
        <r>
          <rPr>
            <b/>
            <sz val="8"/>
            <color indexed="81"/>
            <rFont val="Calibri"/>
            <family val="2"/>
          </rPr>
          <t>Project description must be specified on the worksheet "Eingabeblatt".</t>
        </r>
      </text>
    </comment>
    <comment ref="A102" authorId="2" shapeId="0" xr:uid="{BDAE65C1-6F3F-44D1-A20C-24F5D29E8F1B}">
      <text>
        <r>
          <rPr>
            <b/>
            <sz val="8"/>
            <color indexed="81"/>
            <rFont val="Calibri"/>
            <family val="2"/>
          </rPr>
          <t>Project description must be specified on the worksheet "Eingabeblatt".</t>
        </r>
      </text>
    </comment>
    <comment ref="A103" authorId="2" shapeId="0" xr:uid="{2FF46854-89CB-442E-B568-495A1F7443E2}">
      <text>
        <r>
          <rPr>
            <b/>
            <sz val="8"/>
            <color indexed="81"/>
            <rFont val="Calibri"/>
            <family val="2"/>
          </rPr>
          <t>Project description must be specified on the worksheet "Eingabeblatt".</t>
        </r>
      </text>
    </comment>
    <comment ref="A104" authorId="2" shapeId="0" xr:uid="{604AB202-59A1-48C1-97DF-FDDF57EA3B5E}">
      <text>
        <r>
          <rPr>
            <b/>
            <sz val="8"/>
            <color indexed="81"/>
            <rFont val="Calibri"/>
            <family val="2"/>
          </rPr>
          <t>Project description must be specified on the worksheet "Eingabeblatt".</t>
        </r>
      </text>
    </comment>
    <comment ref="A105" authorId="2" shapeId="0" xr:uid="{E18447F8-04F6-4F17-A0B6-F2E09312431A}">
      <text>
        <r>
          <rPr>
            <b/>
            <sz val="8"/>
            <color indexed="81"/>
            <rFont val="Calibri"/>
            <family val="2"/>
          </rPr>
          <t>Project description must be specified on the worksheet "Eingabeblatt".</t>
        </r>
      </text>
    </comment>
    <comment ref="A106" authorId="2" shapeId="0" xr:uid="{32A16C27-B268-49A0-8776-7AA5C073D49B}">
      <text>
        <r>
          <rPr>
            <b/>
            <sz val="8"/>
            <color indexed="81"/>
            <rFont val="Calibri"/>
            <family val="2"/>
          </rPr>
          <t>Project description must be specified on the worksheet "Eingabeblatt".</t>
        </r>
      </text>
    </comment>
    <comment ref="A107" authorId="2" shapeId="0" xr:uid="{46CEA1D3-C1E2-4624-9D6D-40DF370AA1DC}">
      <text>
        <r>
          <rPr>
            <b/>
            <sz val="8"/>
            <color indexed="81"/>
            <rFont val="Calibri"/>
            <family val="2"/>
          </rPr>
          <t>Project description must be specified on the worksheet "Eingabeblatt".</t>
        </r>
      </text>
    </comment>
    <comment ref="A108" authorId="2" shapeId="0" xr:uid="{E2AD0B71-A802-48CD-A015-D9110267ABC2}">
      <text>
        <r>
          <rPr>
            <b/>
            <sz val="8"/>
            <color indexed="81"/>
            <rFont val="Calibri"/>
            <family val="2"/>
          </rPr>
          <t>Project description must be specified on the worksheet "Eingabeblatt".</t>
        </r>
      </text>
    </comment>
    <comment ref="A109" authorId="2" shapeId="0" xr:uid="{52EC4FED-A3B6-452F-996D-3FC5B7DC98AB}">
      <text>
        <r>
          <rPr>
            <b/>
            <sz val="8"/>
            <color indexed="81"/>
            <rFont val="Calibri"/>
            <family val="2"/>
          </rPr>
          <t>Project description must be specified on the worksheet "Eingabeblatt".</t>
        </r>
      </text>
    </comment>
    <comment ref="A110" authorId="2" shapeId="0" xr:uid="{1007A974-F6FD-4FCB-9F69-EBF57B6C9B33}">
      <text>
        <r>
          <rPr>
            <b/>
            <sz val="8"/>
            <color indexed="81"/>
            <rFont val="Calibri"/>
            <family val="2"/>
          </rPr>
          <t>Project description must be specified on the worksheet "Eingabeblatt".</t>
        </r>
      </text>
    </comment>
    <comment ref="A111" authorId="2" shapeId="0" xr:uid="{2C0EC298-AD88-44D2-9BF2-A9B0733CB099}">
      <text>
        <r>
          <rPr>
            <b/>
            <sz val="8"/>
            <color indexed="81"/>
            <rFont val="Calibri"/>
            <family val="2"/>
          </rPr>
          <t>Project description must be specified on the worksheet "Eingabeblatt".</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Jeannette Hügli</author>
    <author>Peter von Ballmoos</author>
    <author>--</author>
    <author>Filipovic Stojan ABRAXAS INFORMATIK AG</author>
  </authors>
  <commentList>
    <comment ref="AO10" authorId="0" shapeId="0" xr:uid="{66A2CFD6-B22F-43BC-9F91-2F81F53AE7B7}">
      <text>
        <r>
          <rPr>
            <b/>
            <sz val="8"/>
            <color indexed="81"/>
            <rFont val="Calibri"/>
            <family val="2"/>
          </rPr>
          <t>Yearly balance
The first figure shows the balance by the end of the month.
The second figure shows the today's current balance by the
end of the year.</t>
        </r>
      </text>
    </comment>
    <comment ref="AJ34" authorId="1" shapeId="0" xr:uid="{A3CCC0BE-DE8F-47F9-AE25-B5929ECA8F82}">
      <text>
        <r>
          <rPr>
            <b/>
            <sz val="8"/>
            <color indexed="81"/>
            <rFont val="Calibri"/>
            <family val="2"/>
          </rPr>
          <t>Either: on call days at weekdays / weekends and public holidays / Sum
Or: (50 hours &amp; Vetsuisse): number of on call days below 5 h / above 5 h / Sum</t>
        </r>
      </text>
    </comment>
    <comment ref="A35" authorId="1" shapeId="0" xr:uid="{DB39F927-2F0E-4A8D-8D1F-629894CBC49B}">
      <text>
        <r>
          <rPr>
            <b/>
            <sz val="8"/>
            <color indexed="81"/>
            <rFont val="Calibri"/>
            <family val="2"/>
          </rPr>
          <t>Entitled to overtime (approval required)</t>
        </r>
      </text>
    </comment>
    <comment ref="A36" authorId="1" shapeId="0" xr:uid="{8648C5DA-ADAD-4C1C-9610-CBA7EC23E92E}">
      <text>
        <r>
          <rPr>
            <b/>
            <sz val="8"/>
            <color indexed="81"/>
            <rFont val="Calibri"/>
            <family val="2"/>
          </rPr>
          <t>Entitled to overtime (approval required)</t>
        </r>
      </text>
    </comment>
    <comment ref="A37" authorId="1" shapeId="0" xr:uid="{795C3097-0F55-4047-8526-7E8001850176}">
      <text>
        <r>
          <rPr>
            <b/>
            <sz val="8"/>
            <color indexed="81"/>
            <rFont val="Calibri"/>
            <family val="2"/>
          </rPr>
          <t>Entitled to overtime (approval required)</t>
        </r>
      </text>
    </comment>
    <comment ref="A38" authorId="1" shapeId="0" xr:uid="{197FB5E0-CD6E-423D-8F86-907067EDFD0E}">
      <text>
        <r>
          <rPr>
            <b/>
            <sz val="8"/>
            <color indexed="81"/>
            <rFont val="Calibri"/>
            <family val="2"/>
          </rPr>
          <t>Entitled to overtime (approval required)</t>
        </r>
      </text>
    </comment>
    <comment ref="A39" authorId="1" shapeId="0" xr:uid="{6B2DC4DF-9830-4B1F-A454-CA85DE359ECE}">
      <text>
        <r>
          <rPr>
            <b/>
            <sz val="8"/>
            <color indexed="81"/>
            <rFont val="Calibri"/>
            <family val="2"/>
          </rPr>
          <t>Entitled to overtime (approval required)</t>
        </r>
      </text>
    </comment>
    <comment ref="A40" authorId="1" shapeId="0" xr:uid="{8D9EE7BA-A0A0-4D1C-A438-D288A52CEA5A}">
      <text>
        <r>
          <rPr>
            <b/>
            <sz val="8"/>
            <color indexed="81"/>
            <rFont val="Calibri"/>
            <family val="2"/>
          </rPr>
          <t>Entitled to overtime (approval required)</t>
        </r>
      </text>
    </comment>
    <comment ref="A41" authorId="1" shapeId="0" xr:uid="{FB79790E-C1C3-4CA6-92AD-82EE04376B77}">
      <text>
        <r>
          <rPr>
            <b/>
            <sz val="8"/>
            <color indexed="81"/>
            <rFont val="Calibri"/>
            <family val="2"/>
          </rPr>
          <t>Entitled to overtime (approval required)</t>
        </r>
      </text>
    </comment>
    <comment ref="A42" authorId="1" shapeId="0" xr:uid="{4F2F23C6-64C4-4C7C-A404-213DD1744CDC}">
      <text>
        <r>
          <rPr>
            <b/>
            <sz val="8"/>
            <color indexed="81"/>
            <rFont val="Calibri"/>
            <family val="2"/>
          </rPr>
          <t>Entitled to overtime (approval required)</t>
        </r>
      </text>
    </comment>
    <comment ref="A43" authorId="1" shapeId="0" xr:uid="{FB88D1DF-7062-499E-AEA3-CA3E0BF38D42}">
      <text>
        <r>
          <rPr>
            <b/>
            <sz val="8"/>
            <color indexed="81"/>
            <rFont val="Calibri"/>
            <family val="2"/>
          </rPr>
          <t>Entitled to overtime (approval required)</t>
        </r>
      </text>
    </comment>
    <comment ref="A44" authorId="1" shapeId="0" xr:uid="{D4FCD7E2-3F24-425C-B9B5-CE6E9917684A}">
      <text>
        <r>
          <rPr>
            <b/>
            <sz val="8"/>
            <color indexed="81"/>
            <rFont val="Calibri"/>
            <family val="2"/>
          </rPr>
          <t>Entitled to overtime (approval required)</t>
        </r>
      </text>
    </comment>
    <comment ref="AM48" authorId="0" shapeId="0" xr:uid="{7D674250-7664-49BC-98B3-EBE0F6F2CB78}">
      <text>
        <r>
          <rPr>
            <b/>
            <sz val="8"/>
            <color indexed="81"/>
            <rFont val="Calibri"/>
            <family val="2"/>
          </rPr>
          <t>On call hours of the first day of the following month that are calculated to the previous day.
In December you can manually enter on call hours between 00:00 and 08:00 worked on the 1st January of the following year.
In all other months the value is calculated and shan't be overwritten.</t>
        </r>
      </text>
    </comment>
    <comment ref="AH57" authorId="2" shapeId="0" xr:uid="{A8E5E0E0-A79A-4DF9-9C1D-F476CFB5DE3C}">
      <text>
        <r>
          <rPr>
            <b/>
            <sz val="8"/>
            <color indexed="81"/>
            <rFont val="Calibri"/>
            <family val="2"/>
          </rPr>
          <t>Please indicate with "+" or "-" if correction is plus or minus.</t>
        </r>
      </text>
    </comment>
    <comment ref="AL58" authorId="0" shapeId="0" xr:uid="{7E2D29A4-1B58-47FE-9ABD-A59ED7E856BE}">
      <text>
        <r>
          <rPr>
            <b/>
            <sz val="8"/>
            <color indexed="81"/>
            <rFont val="Calibri"/>
            <family val="2"/>
          </rPr>
          <t>These hours are already included in the monthly total</t>
        </r>
      </text>
    </comment>
    <comment ref="AG63" authorId="3" shapeId="0" xr:uid="{62CFDA7A-AFB3-4F7E-B38A-C8589DE8D809}">
      <text>
        <r>
          <rPr>
            <b/>
            <sz val="8"/>
            <color indexed="81"/>
            <rFont val="Calibri"/>
            <family val="2"/>
          </rPr>
          <t>Supplement of 25% on ordered overtime applies up to pay category 16 according to §127 VVO.
Entitled employees choose "Yes" in field "Supplement on Overtime entitled" on worksheet "Eingabeblatt"
Pay category 17 and up has to compensate overtime 1.1.
No supplement for 50 hours &amp; Vetsuisse.</t>
        </r>
      </text>
    </comment>
    <comment ref="AH64" authorId="2" shapeId="0" xr:uid="{E051D1FE-75AD-4297-B111-ED4007270321}">
      <text>
        <r>
          <rPr>
            <b/>
            <sz val="8"/>
            <color indexed="81"/>
            <rFont val="Calibri"/>
            <family val="2"/>
          </rPr>
          <t>Please indicate with "+" or "-" if correction is plus or minus.</t>
        </r>
      </text>
    </comment>
    <comment ref="AJ72" authorId="1" shapeId="0" xr:uid="{3B014AC6-10C4-4272-9F55-CF5F026C5448}">
      <text>
        <r>
          <rPr>
            <b/>
            <sz val="8"/>
            <color indexed="81"/>
            <rFont val="Calibri"/>
            <family val="2"/>
          </rPr>
          <t>Number of planned night shifts</t>
        </r>
      </text>
    </comment>
    <comment ref="AJ73" authorId="0" shapeId="0" xr:uid="{E15F1B32-04B4-44CD-AE61-9AF6FAEFD8AA}">
      <text>
        <r>
          <rPr>
            <b/>
            <sz val="8"/>
            <color indexed="81"/>
            <rFont val="Calibri"/>
            <family val="2"/>
          </rPr>
          <t>Number of days with night shifts.
50 hours &amp; Vetsuisse: according to out time 24:00
ServiceCenter Irchel: planned night shifts
Others: every night shift counts</t>
        </r>
      </text>
    </comment>
    <comment ref="AM76" authorId="0" shapeId="0" xr:uid="{E94FF5D3-B2CF-4325-8F4A-7FF7F74ED8DE}">
      <text>
        <r>
          <rPr>
            <b/>
            <sz val="8"/>
            <color indexed="81"/>
            <rFont val="Calibri"/>
            <family val="2"/>
          </rPr>
          <t>Night shift hours of the first day of the following month that are calculated to the previous day.
In December you can manually enter night shift hours between 00:00 and 06:00 worked on the 1st January of the following year.
In all other months the value is calculated and shan't be overwritten.</t>
        </r>
      </text>
    </comment>
    <comment ref="AN79" authorId="0" shapeId="0" xr:uid="{6B82A0BF-06B3-496A-B39C-223D1EF51AEC}">
      <text>
        <r>
          <rPr>
            <b/>
            <sz val="8"/>
            <color indexed="81"/>
            <rFont val="Calibri"/>
            <family val="2"/>
          </rPr>
          <t>Any compensation during this month is deducted here.</t>
        </r>
      </text>
    </comment>
    <comment ref="AJ82" authorId="0" shapeId="0" xr:uid="{8A7B02D4-091E-44FE-B7F7-ACF43F915E4C}">
      <text>
        <r>
          <rPr>
            <b/>
            <sz val="8"/>
            <color indexed="81"/>
            <rFont val="Calibri"/>
            <family val="2"/>
          </rPr>
          <t>Number of Saturday/Sunday shifts</t>
        </r>
      </text>
    </comment>
    <comment ref="AH85" authorId="2" shapeId="0" xr:uid="{0276D856-835D-492D-8229-A86B7DB83C87}">
      <text>
        <r>
          <rPr>
            <b/>
            <sz val="8"/>
            <color indexed="81"/>
            <rFont val="Calibri"/>
            <family val="2"/>
          </rPr>
          <t>Please indicate with "+" or "-" if correction is plus or minus.</t>
        </r>
      </text>
    </comment>
    <comment ref="A97" authorId="2" shapeId="0" xr:uid="{3FDA739A-D6F5-446F-BA0C-46BF810C9568}">
      <text>
        <r>
          <rPr>
            <b/>
            <sz val="8"/>
            <color indexed="81"/>
            <rFont val="Calibri"/>
            <family val="2"/>
          </rPr>
          <t>Project description must be specified on the worksheet "Eingabeblatt".</t>
        </r>
      </text>
    </comment>
    <comment ref="A98" authorId="2" shapeId="0" xr:uid="{F58F4911-7226-40DF-909F-5DE75576156C}">
      <text>
        <r>
          <rPr>
            <b/>
            <sz val="8"/>
            <color indexed="81"/>
            <rFont val="Calibri"/>
            <family val="2"/>
          </rPr>
          <t>Project description must be specified on the worksheet "Eingabeblatt".</t>
        </r>
      </text>
    </comment>
    <comment ref="A99" authorId="2" shapeId="0" xr:uid="{9F11C426-42AB-49BC-8B72-F129270944A1}">
      <text>
        <r>
          <rPr>
            <b/>
            <sz val="8"/>
            <color indexed="81"/>
            <rFont val="Calibri"/>
            <family val="2"/>
          </rPr>
          <t>Project description must be specified on the worksheet "Eingabeblatt".</t>
        </r>
      </text>
    </comment>
    <comment ref="A100" authorId="2" shapeId="0" xr:uid="{F6832896-DEE0-4D48-B203-BC9B0CEDC71D}">
      <text>
        <r>
          <rPr>
            <b/>
            <sz val="8"/>
            <color indexed="81"/>
            <rFont val="Calibri"/>
            <family val="2"/>
          </rPr>
          <t>Project description must be specified on the worksheet "Eingabeblatt".</t>
        </r>
      </text>
    </comment>
    <comment ref="A101" authorId="2" shapeId="0" xr:uid="{0966ABB6-995E-4AD0-855D-AECFA234C51F}">
      <text>
        <r>
          <rPr>
            <b/>
            <sz val="8"/>
            <color indexed="81"/>
            <rFont val="Calibri"/>
            <family val="2"/>
          </rPr>
          <t>Project description must be specified on the worksheet "Eingabeblatt".</t>
        </r>
      </text>
    </comment>
    <comment ref="A102" authorId="2" shapeId="0" xr:uid="{9675ADCB-2085-48F3-A15F-AD14CFEFBEDB}">
      <text>
        <r>
          <rPr>
            <b/>
            <sz val="8"/>
            <color indexed="81"/>
            <rFont val="Calibri"/>
            <family val="2"/>
          </rPr>
          <t>Project description must be specified on the worksheet "Eingabeblatt".</t>
        </r>
      </text>
    </comment>
    <comment ref="A103" authorId="2" shapeId="0" xr:uid="{44D04FFC-C3E6-417A-9D1D-BD7C26771472}">
      <text>
        <r>
          <rPr>
            <b/>
            <sz val="8"/>
            <color indexed="81"/>
            <rFont val="Calibri"/>
            <family val="2"/>
          </rPr>
          <t>Project description must be specified on the worksheet "Eingabeblatt".</t>
        </r>
      </text>
    </comment>
    <comment ref="A104" authorId="2" shapeId="0" xr:uid="{C4D3AB82-2EF0-456A-B5B7-9132ECAA1A3E}">
      <text>
        <r>
          <rPr>
            <b/>
            <sz val="8"/>
            <color indexed="81"/>
            <rFont val="Calibri"/>
            <family val="2"/>
          </rPr>
          <t>Project description must be specified on the worksheet "Eingabeblatt".</t>
        </r>
      </text>
    </comment>
    <comment ref="A105" authorId="2" shapeId="0" xr:uid="{50857113-3AEF-4C59-A722-246BD3D49717}">
      <text>
        <r>
          <rPr>
            <b/>
            <sz val="8"/>
            <color indexed="81"/>
            <rFont val="Calibri"/>
            <family val="2"/>
          </rPr>
          <t>Project description must be specified on the worksheet "Eingabeblatt".</t>
        </r>
      </text>
    </comment>
    <comment ref="A106" authorId="2" shapeId="0" xr:uid="{6FEC741A-5C46-44D1-AE60-4E0FFE3F0CFE}">
      <text>
        <r>
          <rPr>
            <b/>
            <sz val="8"/>
            <color indexed="81"/>
            <rFont val="Calibri"/>
            <family val="2"/>
          </rPr>
          <t>Project description must be specified on the worksheet "Eingabeblatt".</t>
        </r>
      </text>
    </comment>
    <comment ref="A107" authorId="2" shapeId="0" xr:uid="{F2B27943-9FF6-4EEE-A248-970EAF1FD914}">
      <text>
        <r>
          <rPr>
            <b/>
            <sz val="8"/>
            <color indexed="81"/>
            <rFont val="Calibri"/>
            <family val="2"/>
          </rPr>
          <t>Project description must be specified on the worksheet "Eingabeblatt".</t>
        </r>
      </text>
    </comment>
    <comment ref="A108" authorId="2" shapeId="0" xr:uid="{041632FD-9C55-4B2F-BAEB-B355E8ABA78B}">
      <text>
        <r>
          <rPr>
            <b/>
            <sz val="8"/>
            <color indexed="81"/>
            <rFont val="Calibri"/>
            <family val="2"/>
          </rPr>
          <t>Project description must be specified on the worksheet "Eingabeblatt".</t>
        </r>
      </text>
    </comment>
    <comment ref="A109" authorId="2" shapeId="0" xr:uid="{87A2C1CE-468E-496D-A518-98F3D801CC60}">
      <text>
        <r>
          <rPr>
            <b/>
            <sz val="8"/>
            <color indexed="81"/>
            <rFont val="Calibri"/>
            <family val="2"/>
          </rPr>
          <t>Project description must be specified on the worksheet "Eingabeblatt".</t>
        </r>
      </text>
    </comment>
    <comment ref="A110" authorId="2" shapeId="0" xr:uid="{211A6848-2ADE-419E-956F-7A32E835B4EF}">
      <text>
        <r>
          <rPr>
            <b/>
            <sz val="8"/>
            <color indexed="81"/>
            <rFont val="Calibri"/>
            <family val="2"/>
          </rPr>
          <t>Project description must be specified on the worksheet "Eingabeblatt".</t>
        </r>
      </text>
    </comment>
    <comment ref="A111" authorId="2" shapeId="0" xr:uid="{EAB3818B-52F0-484C-BC53-39B17A80A8E6}">
      <text>
        <r>
          <rPr>
            <b/>
            <sz val="8"/>
            <color indexed="81"/>
            <rFont val="Calibri"/>
            <family val="2"/>
          </rPr>
          <t>Project description must be specified on the worksheet "Eingabeblatt".</t>
        </r>
      </text>
    </comment>
  </commentList>
</comments>
</file>

<file path=xl/sharedStrings.xml><?xml version="1.0" encoding="utf-8"?>
<sst xmlns="http://schemas.openxmlformats.org/spreadsheetml/2006/main" count="1306" uniqueCount="266">
  <si>
    <t>Total</t>
  </si>
  <si>
    <t>Projektart</t>
  </si>
  <si>
    <t>-</t>
  </si>
  <si>
    <t>+</t>
  </si>
  <si>
    <t xml:space="preserve"> </t>
  </si>
  <si>
    <t>Name</t>
  </si>
  <si>
    <t>Fakultät</t>
  </si>
  <si>
    <t>Personalkategorie</t>
  </si>
  <si>
    <t>Nachtdienst</t>
  </si>
  <si>
    <t>Frei-Tage</t>
  </si>
  <si>
    <t>parzung GmbH</t>
  </si>
  <si>
    <t>parzung.ch</t>
  </si>
  <si>
    <t>Tabellen</t>
  </si>
  <si>
    <t>Feiertage</t>
  </si>
  <si>
    <t>Wochenarbeitszeit</t>
  </si>
  <si>
    <t>Arbeitszeit in %</t>
  </si>
  <si>
    <t>April</t>
  </si>
  <si>
    <t>August</t>
  </si>
  <si>
    <t>September</t>
  </si>
  <si>
    <t>November</t>
  </si>
  <si>
    <t>Projektart Name</t>
  </si>
  <si>
    <t>Produktive Stunden</t>
  </si>
  <si>
    <t>Record</t>
  </si>
  <si>
    <t>Employee Time Sheet</t>
  </si>
  <si>
    <t>Year</t>
  </si>
  <si>
    <t>Date of Birth</t>
  </si>
  <si>
    <t>Employee Number</t>
  </si>
  <si>
    <t>Entry Date during the Year</t>
  </si>
  <si>
    <t>Year of Birth</t>
  </si>
  <si>
    <t>Termination Date during the Year</t>
  </si>
  <si>
    <t>Function</t>
  </si>
  <si>
    <t>Institute/Department</t>
  </si>
  <si>
    <t>Faculty</t>
  </si>
  <si>
    <t>Employee Category</t>
  </si>
  <si>
    <t>Apprentice</t>
  </si>
  <si>
    <t>Weekly Working Hours</t>
  </si>
  <si>
    <t>Employment Level (FTE) in %</t>
  </si>
  <si>
    <t>Monthly Required Hours of Work</t>
  </si>
  <si>
    <t>General Information</t>
  </si>
  <si>
    <t>Yearly compensation in hours at FTE 100%</t>
  </si>
  <si>
    <t>Month</t>
  </si>
  <si>
    <t>January</t>
  </si>
  <si>
    <t>February</t>
  </si>
  <si>
    <t>March</t>
  </si>
  <si>
    <t>May</t>
  </si>
  <si>
    <t>June</t>
  </si>
  <si>
    <t>July</t>
  </si>
  <si>
    <t>October</t>
  </si>
  <si>
    <t>December</t>
  </si>
  <si>
    <t>Average FTE</t>
  </si>
  <si>
    <t>Carryover from previous year</t>
  </si>
  <si>
    <t>Current year</t>
  </si>
  <si>
    <t>Balance working hours</t>
  </si>
  <si>
    <t>Extra/minus hours</t>
  </si>
  <si>
    <t>Overtime balance</t>
  </si>
  <si>
    <t>Vacation entitlement</t>
  </si>
  <si>
    <t>Seniority allowance</t>
  </si>
  <si>
    <t>Compensation entitlement</t>
  </si>
  <si>
    <t>Days off according to contract</t>
  </si>
  <si>
    <t>Monday</t>
  </si>
  <si>
    <t>Tuesday</t>
  </si>
  <si>
    <t>Wednesday</t>
  </si>
  <si>
    <t>Thursday</t>
  </si>
  <si>
    <t>Friday</t>
  </si>
  <si>
    <t>Saturday</t>
  </si>
  <si>
    <t>Sunday</t>
  </si>
  <si>
    <t>Projects</t>
  </si>
  <si>
    <t>Description</t>
  </si>
  <si>
    <t>Project type</t>
  </si>
  <si>
    <t>Contract number</t>
  </si>
  <si>
    <t>Project head</t>
  </si>
  <si>
    <t>Description of Function</t>
  </si>
  <si>
    <t>Institute/Department Name</t>
  </si>
  <si>
    <t>Day</t>
  </si>
  <si>
    <t>in</t>
  </si>
  <si>
    <t>out</t>
  </si>
  <si>
    <t>Actual hours worked</t>
  </si>
  <si>
    <t>+/- required/actual hours daily</t>
  </si>
  <si>
    <t>Total extra/minus hours</t>
  </si>
  <si>
    <t>Compensation working hours</t>
  </si>
  <si>
    <t>Vacation</t>
  </si>
  <si>
    <t>Consultation</t>
  </si>
  <si>
    <t>Illness</t>
  </si>
  <si>
    <t>Work-related accident</t>
  </si>
  <si>
    <t>Military/civilian service</t>
  </si>
  <si>
    <t>Continuing education</t>
  </si>
  <si>
    <t>Paid leave</t>
  </si>
  <si>
    <t>Unpaid leave</t>
  </si>
  <si>
    <t>Night shift</t>
  </si>
  <si>
    <t>On-call duty</t>
  </si>
  <si>
    <t>Saturday/Sunday shift</t>
  </si>
  <si>
    <t>Any abuse shall be subject to penalties!</t>
  </si>
  <si>
    <t>Correction vacation</t>
  </si>
  <si>
    <t>Yearly entitlement</t>
  </si>
  <si>
    <t>Balance</t>
  </si>
  <si>
    <t>Carryover to the following year</t>
  </si>
  <si>
    <t>Total first half-year</t>
  </si>
  <si>
    <t>Total second half-year</t>
  </si>
  <si>
    <t>Summary of all Projects</t>
  </si>
  <si>
    <t>Monthly/Yearly Project Workload</t>
  </si>
  <si>
    <t>Total productive hours</t>
  </si>
  <si>
    <t>Annual Statement</t>
  </si>
  <si>
    <t>Project Overview</t>
  </si>
  <si>
    <t>Project Overview (E-/Q-projects)</t>
  </si>
  <si>
    <t>Select Faculty</t>
  </si>
  <si>
    <t>Select Employee Category</t>
  </si>
  <si>
    <t>Yes / No</t>
  </si>
  <si>
    <t>Vacation entitlement according to age</t>
  </si>
  <si>
    <t>Age in years</t>
  </si>
  <si>
    <t>until and incl. the age of 20 and apprentice</t>
  </si>
  <si>
    <t>from age 50 upwards</t>
  </si>
  <si>
    <t>from age 60 upwards</t>
  </si>
  <si>
    <t>Total working hours</t>
  </si>
  <si>
    <t>Exact vacation entitlement</t>
  </si>
  <si>
    <t>Exact compensation entitlement</t>
  </si>
  <si>
    <t>revised by</t>
  </si>
  <si>
    <t>Date</t>
  </si>
  <si>
    <t>Correction extra/minus hours</t>
  </si>
  <si>
    <t>Actual/compensated overtime</t>
  </si>
  <si>
    <t>Correction overtime</t>
  </si>
  <si>
    <t>Secondary employment</t>
  </si>
  <si>
    <t>Monthly time credit</t>
  </si>
  <si>
    <t>Carryover from previous month</t>
  </si>
  <si>
    <t>Carryover</t>
  </si>
  <si>
    <t>Extra/minus hours of work</t>
  </si>
  <si>
    <t>Required hours of work (net)</t>
  </si>
  <si>
    <t>Total working hours (actual)</t>
  </si>
  <si>
    <t>Yearly working hours (accumulated)</t>
  </si>
  <si>
    <t>Math.-Naturwissenschaften / Science</t>
  </si>
  <si>
    <t>Medizin / Medicine</t>
  </si>
  <si>
    <t>Philosophie / Arts and Social Sciences</t>
  </si>
  <si>
    <t>Theologie / Theology</t>
  </si>
  <si>
    <t>Vetsuisse</t>
  </si>
  <si>
    <t>Zentrale Dienste / Central Services</t>
  </si>
  <si>
    <t>Wissenschaftliche Mitarbeitende(r) / Academic associate</t>
  </si>
  <si>
    <t>Qualifikationsstelle / Junior academic position</t>
  </si>
  <si>
    <t>Drittmittel / Grants</t>
  </si>
  <si>
    <t>Nationalfonds / National Foundation</t>
  </si>
  <si>
    <t>E-/Q Projekte / E-/Q Projects</t>
  </si>
  <si>
    <t>Uni / University</t>
  </si>
  <si>
    <t>nicht definiert / non-defined</t>
  </si>
  <si>
    <t>Rechtswissenschaften / Law</t>
  </si>
  <si>
    <t>Wirtschaftwissenschaften / Business, Economics, Informatics</t>
  </si>
  <si>
    <t>Admin. und Techn. Personal / Admin. and techn. Staff</t>
  </si>
  <si>
    <t>Pikett</t>
  </si>
  <si>
    <t>B</t>
  </si>
  <si>
    <t>E</t>
  </si>
  <si>
    <t>Project 1</t>
  </si>
  <si>
    <t>Project 2</t>
  </si>
  <si>
    <t>Project 3</t>
  </si>
  <si>
    <t>Project 4</t>
  </si>
  <si>
    <t>Project 5</t>
  </si>
  <si>
    <t>Project 6</t>
  </si>
  <si>
    <t>Project 7</t>
  </si>
  <si>
    <t>Project 8</t>
  </si>
  <si>
    <t>Project 9</t>
  </si>
  <si>
    <t>Project 10</t>
  </si>
  <si>
    <t>Project 11</t>
  </si>
  <si>
    <t>Project 12</t>
  </si>
  <si>
    <t>Project 13</t>
  </si>
  <si>
    <t>Project 14</t>
  </si>
  <si>
    <t>Project 15</t>
  </si>
  <si>
    <t>Andere / Other</t>
  </si>
  <si>
    <t>Feiertaginfo</t>
  </si>
  <si>
    <t>paid break in</t>
  </si>
  <si>
    <t>paid break out</t>
  </si>
  <si>
    <t>Assistenzärztin/Assistenzarzt</t>
  </si>
  <si>
    <t>Oberärztin/Oberarzt</t>
  </si>
  <si>
    <t>Hours worked for projects</t>
  </si>
  <si>
    <t>Angestellt</t>
  </si>
  <si>
    <t>Ja/Nein Auswahl
(DE/EN)</t>
  </si>
  <si>
    <t>EN</t>
  </si>
  <si>
    <t>Abendarbeit</t>
  </si>
  <si>
    <t>Definierte Zeiten</t>
  </si>
  <si>
    <t>ab</t>
  </si>
  <si>
    <t>bis</t>
  </si>
  <si>
    <t>Definierte Abfragen</t>
  </si>
  <si>
    <t>50 Stundenwoche und Vetsuisse</t>
  </si>
  <si>
    <t>50 Stundenwoche ohne Vetsuisse</t>
  </si>
  <si>
    <t>Resultat</t>
  </si>
  <si>
    <t>Abfragewerte</t>
  </si>
  <si>
    <t>Grenze Ang.ÜZ 50_Vetsuisse</t>
  </si>
  <si>
    <t>Wert</t>
  </si>
  <si>
    <t>Ang.ÜZ 50_Vetsuisse orange</t>
  </si>
  <si>
    <t>Arbeitstätigkeiten / Working Activities</t>
  </si>
  <si>
    <t>Intern / FVH Assistierende(r) / Resident</t>
  </si>
  <si>
    <t>FTE acc. to employment contract</t>
  </si>
  <si>
    <t>Yearly compensation in hours acc. to FTE</t>
  </si>
  <si>
    <t>For EU Projects only</t>
  </si>
  <si>
    <t>Pikettdienst bis Vetsuisse</t>
  </si>
  <si>
    <t>No</t>
  </si>
  <si>
    <t>Required hours at 100%</t>
  </si>
  <si>
    <t>ø Hours per day at 100%</t>
  </si>
  <si>
    <t>Vacation entitle- ment 100%</t>
  </si>
  <si>
    <t>Compensation entitlement 100%</t>
  </si>
  <si>
    <t>Employment level full time equivalent (FTE) %</t>
  </si>
  <si>
    <t>Required hours at FTE</t>
  </si>
  <si>
    <t>ø Hours per day at FTE</t>
  </si>
  <si>
    <t>Vacation entitle- ment FTE</t>
  </si>
  <si>
    <t>Compensation entitlement FTE</t>
  </si>
  <si>
    <t>Time supplement night shift</t>
  </si>
  <si>
    <t>Number of months actually worked</t>
  </si>
  <si>
    <t>Balances previous year calculated</t>
  </si>
  <si>
    <t>Balances previous year</t>
  </si>
  <si>
    <t>Total in/out</t>
  </si>
  <si>
    <t>Total breaks (in out/paid)</t>
  </si>
  <si>
    <t>on call standby Yes / No</t>
  </si>
  <si>
    <t>Total on call standby in/out</t>
  </si>
  <si>
    <t>Total on call hours yesterday</t>
  </si>
  <si>
    <t>Total on call hours today</t>
  </si>
  <si>
    <t>Total on call standby hours</t>
  </si>
  <si>
    <t>Standardized hours (Info)</t>
  </si>
  <si>
    <t>Req. hours of work FTE</t>
  </si>
  <si>
    <t>Req. hours of work 100%</t>
  </si>
  <si>
    <t>current extra/minus hours</t>
  </si>
  <si>
    <t>Supplement 25%</t>
  </si>
  <si>
    <t>Supplement on Overtime entitled</t>
  </si>
  <si>
    <t>Ordered overtime</t>
  </si>
  <si>
    <t>Compensation overtime</t>
  </si>
  <si>
    <t>Total overtime incl. suppl.</t>
  </si>
  <si>
    <t>Counter night shift</t>
  </si>
  <si>
    <t>Balance counter night shift</t>
  </si>
  <si>
    <t>Compensation TS night shift</t>
  </si>
  <si>
    <t>Start pl. night shift Yes/No</t>
  </si>
  <si>
    <t>Evening work</t>
  </si>
  <si>
    <t>Difference WH-Project type 6</t>
  </si>
  <si>
    <t>I verified that the data of this monthly report is correct:</t>
  </si>
  <si>
    <t>Remarks:</t>
  </si>
  <si>
    <t>Date and Signature Employee:</t>
  </si>
  <si>
    <t>Special counts</t>
  </si>
  <si>
    <t>Carryover from next month</t>
  </si>
  <si>
    <t>Number of on call days</t>
  </si>
  <si>
    <t>ø FTE in %</t>
  </si>
  <si>
    <t>in % of working hours (in/out)</t>
  </si>
  <si>
    <t>Date and Initials Supervisor:</t>
  </si>
  <si>
    <t>Req. prod. hours FTE in %</t>
  </si>
  <si>
    <t>Difference</t>
  </si>
  <si>
    <t>PSP Element no.</t>
  </si>
  <si>
    <t>%-empl. acc. act. hours worked</t>
  </si>
  <si>
    <t>+/- required/actual monthly</t>
  </si>
  <si>
    <t>Non-work-related accident</t>
  </si>
  <si>
    <t>+/- Standardized hours</t>
  </si>
  <si>
    <t>Overtime</t>
  </si>
  <si>
    <t>Standardized h</t>
  </si>
  <si>
    <t>Leaves</t>
  </si>
  <si>
    <t>On call and shifts</t>
  </si>
  <si>
    <t>FTE</t>
  </si>
  <si>
    <t>Wage Group &gt; 16</t>
  </si>
  <si>
    <t>Weitere Angaben</t>
  </si>
  <si>
    <t>ServiceCenter Irchel</t>
  </si>
  <si>
    <t>More Information</t>
  </si>
  <si>
    <t>ZZS Nachtdienst</t>
  </si>
  <si>
    <t>Total NS hours today</t>
  </si>
  <si>
    <t>Total NS hours yesterday</t>
  </si>
  <si>
    <t>Total NS hours</t>
  </si>
  <si>
    <t>Please indicate the specific project description and project type (1 = Drittmittel / Grants, 2 = Nationalfonds / National Foundation, 3 = E-/Q Projekte / E-/Q Projects, 4 = Uni / University, 5 = Andere / Other, 6 = Arbeitstätigkeiten / Working Activities, 7 = Entlastungszeit / Relief Time). Please list items without gaps.</t>
  </si>
  <si>
    <t>Entlastungszeit / Relief Time</t>
  </si>
  <si>
    <t>Palmisackerstr. 14</t>
  </si>
  <si>
    <t>8824 Schönenberg</t>
  </si>
  <si>
    <t>Standard working hours (as of Jan. resp. entry)</t>
  </si>
  <si>
    <t>Bewilligungsfreier Feriensaldo</t>
  </si>
  <si>
    <t>Yearly vacation entitlement in days at FTE 100%</t>
  </si>
  <si>
    <t>Yearly vacation entitlement in days acc. to FTE</t>
  </si>
  <si>
    <t>Additional days</t>
  </si>
  <si>
    <t>Version 12.19</t>
  </si>
  <si>
    <t>12 2019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</si>
</sst>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h]\:mm;\-\ [h]\:mm;0\:00"/>
    <numFmt numFmtId="165" formatCode="yyyy"/>
    <numFmt numFmtId="166" formatCode="[h]\:mm;\-\ [h]\:mm;&quot;-     &quot;"/>
    <numFmt numFmtId="167" formatCode="dd/mm/yyyy;@"/>
    <numFmt numFmtId="168" formatCode="0_ ;\-0\ "/>
    <numFmt numFmtId="169" formatCode="mmmm"/>
    <numFmt numFmtId="170" formatCode="mmmm\ yyyy"/>
    <numFmt numFmtId="171" formatCode="d"/>
    <numFmt numFmtId="172" formatCode="ddd"/>
    <numFmt numFmtId="173" formatCode="ddd\ \-\ dd/mm/yyyy"/>
    <numFmt numFmtId="174" formatCode=";;;"/>
    <numFmt numFmtId="175" formatCode="__@"/>
    <numFmt numFmtId="176" formatCode="General;General;\-\ \ \ \ \ "/>
    <numFmt numFmtId="177" formatCode="[h]:mm;\-\ \ \ \ \ ;\-\ \ \ \ \ ;"/>
    <numFmt numFmtId="178" formatCode="[h]:mm;\-[h]:mm;\-\ \ \ \ \ ;"/>
    <numFmt numFmtId="179" formatCode="[h]\:mm;[h]\:mm;&quot;&quot;"/>
    <numFmt numFmtId="180" formatCode="0;\-0;;"/>
    <numFmt numFmtId="181" formatCode="&quot;ø &quot;0.00;\-0.00"/>
    <numFmt numFmtId="182" formatCode="[h]\:mm;\-[h]\:mm;&quot;-     &quot;"/>
  </numFmts>
  <fonts count="26" x14ac:knownFonts="1">
    <font>
      <sz val="10"/>
      <name val="Verdana"/>
    </font>
    <font>
      <u/>
      <sz val="10"/>
      <color indexed="12"/>
      <name val="Verdana"/>
      <family val="2"/>
    </font>
    <font>
      <sz val="11"/>
      <name val="Arial"/>
      <family val="2"/>
    </font>
    <font>
      <b/>
      <sz val="11"/>
      <name val="Arial"/>
      <family val="2"/>
    </font>
    <font>
      <b/>
      <sz val="18"/>
      <name val="Arial"/>
      <family val="2"/>
    </font>
    <font>
      <sz val="8"/>
      <name val="Verdana"/>
      <family val="2"/>
    </font>
    <font>
      <sz val="11"/>
      <name val="Arial"/>
      <family val="2"/>
    </font>
    <font>
      <b/>
      <sz val="11"/>
      <name val="Arial"/>
      <family val="2"/>
    </font>
    <font>
      <sz val="18"/>
      <name val="Arial"/>
      <family val="2"/>
    </font>
    <font>
      <sz val="10"/>
      <name val="Arial"/>
      <family val="2"/>
    </font>
    <font>
      <b/>
      <sz val="10"/>
      <name val="Arial"/>
      <family val="2"/>
    </font>
    <font>
      <u/>
      <sz val="10"/>
      <color theme="11"/>
      <name val="Verdana"/>
      <family val="2"/>
    </font>
    <font>
      <sz val="8"/>
      <name val="Calibri"/>
      <family val="2"/>
      <scheme val="minor"/>
    </font>
    <font>
      <b/>
      <sz val="15"/>
      <color rgb="FF000080"/>
      <name val="Century Gothic"/>
      <family val="2"/>
    </font>
    <font>
      <sz val="8"/>
      <name val="Calibri"/>
      <family val="2"/>
    </font>
    <font>
      <u/>
      <sz val="8"/>
      <color theme="10"/>
      <name val="Calibri"/>
      <family val="2"/>
    </font>
    <font>
      <sz val="10"/>
      <name val="Verdana"/>
      <family val="2"/>
    </font>
    <font>
      <i/>
      <sz val="10"/>
      <name val="Arial"/>
      <family val="2"/>
    </font>
    <font>
      <b/>
      <sz val="10"/>
      <color rgb="FFFFFF99"/>
      <name val="Arial"/>
      <family val="2"/>
    </font>
    <font>
      <sz val="10"/>
      <color indexed="22"/>
      <name val="Arial"/>
      <family val="2"/>
    </font>
    <font>
      <b/>
      <sz val="15"/>
      <name val="Arial"/>
      <family val="2"/>
    </font>
    <font>
      <b/>
      <sz val="12"/>
      <name val="Arial"/>
      <family val="2"/>
    </font>
    <font>
      <b/>
      <sz val="8"/>
      <color indexed="81"/>
      <name val="Calibri"/>
      <family val="2"/>
    </font>
    <font>
      <sz val="10"/>
      <color rgb="FFFFFFFF"/>
      <name val="Arial"/>
      <family val="2"/>
    </font>
    <font>
      <sz val="8"/>
      <color rgb="FF8DB4E2"/>
      <name val="Calibri"/>
      <family val="2"/>
      <scheme val="minor"/>
    </font>
    <font>
      <sz val="10"/>
      <color rgb="FFFF555A"/>
      <name val="Arial"/>
      <family val="2"/>
    </font>
  </fonts>
  <fills count="11">
    <fill>
      <patternFill patternType="none"/>
    </fill>
    <fill>
      <patternFill patternType="gray125"/>
    </fill>
    <fill>
      <patternFill patternType="solid">
        <fgColor indexed="9"/>
        <bgColor indexed="64"/>
      </patternFill>
    </fill>
    <fill>
      <patternFill patternType="solid">
        <fgColor rgb="FFE1E1E1"/>
        <bgColor indexed="64"/>
      </patternFill>
    </fill>
    <fill>
      <patternFill patternType="solid">
        <fgColor rgb="FFF2F2F2"/>
        <bgColor indexed="64"/>
      </patternFill>
    </fill>
    <fill>
      <patternFill patternType="solid">
        <fgColor rgb="FFC5D9F1"/>
        <bgColor indexed="64"/>
      </patternFill>
    </fill>
    <fill>
      <gradientFill degree="180">
        <stop position="0">
          <color rgb="FFFFFFFF"/>
        </stop>
        <stop position="1">
          <color rgb="FFE1E1E1"/>
        </stop>
      </gradientFill>
    </fill>
    <fill>
      <patternFill patternType="solid">
        <fgColor rgb="FFB8CCE4"/>
        <bgColor indexed="64"/>
      </patternFill>
    </fill>
    <fill>
      <patternFill patternType="solid">
        <fgColor rgb="FFDCE6F1"/>
        <bgColor indexed="64"/>
      </patternFill>
    </fill>
    <fill>
      <patternFill patternType="solid">
        <fgColor rgb="FFD9D9D9"/>
        <bgColor indexed="64"/>
      </patternFill>
    </fill>
    <fill>
      <patternFill patternType="solid">
        <fgColor rgb="FFFCD5B4"/>
        <bgColor indexed="64"/>
      </patternFill>
    </fill>
  </fills>
  <borders count="2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right/>
      <top style="thin">
        <color auto="1"/>
      </top>
      <bottom style="thin">
        <color rgb="FFFFFFFF"/>
      </bottom>
      <diagonal/>
    </border>
    <border>
      <left/>
      <right/>
      <top style="thin">
        <color rgb="FFFFFFFF"/>
      </top>
      <bottom style="thin">
        <color rgb="FFFFFFFF"/>
      </bottom>
      <diagonal/>
    </border>
    <border>
      <left style="thin">
        <color rgb="FFFFFFFF"/>
      </left>
      <right/>
      <top style="thin">
        <color auto="1"/>
      </top>
      <bottom/>
      <diagonal/>
    </border>
    <border>
      <left style="thin">
        <color rgb="FFFFFFFF"/>
      </left>
      <right/>
      <top style="thin">
        <color rgb="FFFFFFFF"/>
      </top>
      <bottom style="thin">
        <color rgb="FFFFFFFF"/>
      </bottom>
      <diagonal/>
    </border>
    <border>
      <left/>
      <right/>
      <top style="thin">
        <color rgb="FFFFFFFF"/>
      </top>
      <bottom/>
      <diagonal/>
    </border>
    <border>
      <left style="thin">
        <color rgb="FFFFFFFF"/>
      </left>
      <right/>
      <top style="thin">
        <color rgb="FFFFFFFF"/>
      </top>
      <bottom/>
      <diagonal/>
    </border>
  </borders>
  <cellStyleXfs count="19">
    <xf numFmtId="0" fontId="0" fillId="0" borderId="0"/>
    <xf numFmtId="0" fontId="1" fillId="0" borderId="0" applyNumberFormat="0" applyFill="0" applyBorder="0" applyAlignment="0" applyProtection="0">
      <alignment vertical="top"/>
      <protection locked="0"/>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4" fillId="0" borderId="0"/>
    <xf numFmtId="0" fontId="9" fillId="0" borderId="0" applyAlignment="0"/>
    <xf numFmtId="0" fontId="9" fillId="0" borderId="0"/>
    <xf numFmtId="0" fontId="12" fillId="0" borderId="0"/>
    <xf numFmtId="9" fontId="14" fillId="0" borderId="0" applyFont="0" applyFill="0" applyBorder="0" applyAlignment="0" applyProtection="0"/>
    <xf numFmtId="0" fontId="15" fillId="0" borderId="0" applyNumberFormat="0" applyFill="0" applyBorder="0" applyAlignment="0" applyProtection="0"/>
    <xf numFmtId="0" fontId="9" fillId="0" borderId="0"/>
  </cellStyleXfs>
  <cellXfs count="537">
    <xf numFmtId="0" fontId="0" fillId="0" borderId="0" xfId="0"/>
    <xf numFmtId="0" fontId="2" fillId="0" borderId="0" xfId="0" applyFont="1" applyFill="1" applyBorder="1" applyAlignment="1" applyProtection="1">
      <alignment vertical="center"/>
    </xf>
    <xf numFmtId="0" fontId="2" fillId="0" borderId="0" xfId="0" applyFont="1" applyFill="1" applyBorder="1" applyProtection="1"/>
    <xf numFmtId="0" fontId="6" fillId="0" borderId="0" xfId="0" applyFont="1" applyFill="1" applyBorder="1" applyProtection="1"/>
    <xf numFmtId="0" fontId="6" fillId="0" borderId="0" xfId="0" applyFont="1" applyFill="1" applyBorder="1" applyAlignment="1" applyProtection="1">
      <alignment vertical="center"/>
    </xf>
    <xf numFmtId="0" fontId="7" fillId="0" borderId="0" xfId="0" applyFont="1" applyFill="1" applyBorder="1" applyAlignment="1" applyProtection="1">
      <alignment vertical="center"/>
    </xf>
    <xf numFmtId="49" fontId="6" fillId="0" borderId="0" xfId="0" applyNumberFormat="1" applyFont="1" applyFill="1" applyBorder="1" applyAlignment="1" applyProtection="1">
      <alignment textRotation="90"/>
    </xf>
    <xf numFmtId="166" fontId="6" fillId="0" borderId="0" xfId="0" applyNumberFormat="1" applyFont="1" applyFill="1" applyBorder="1" applyProtection="1"/>
    <xf numFmtId="2" fontId="2" fillId="3" borderId="2" xfId="0" applyNumberFormat="1" applyFont="1" applyFill="1" applyBorder="1" applyAlignment="1" applyProtection="1">
      <alignment horizontal="right" vertical="center"/>
    </xf>
    <xf numFmtId="0" fontId="12" fillId="0" borderId="0" xfId="0" applyFont="1"/>
    <xf numFmtId="174" fontId="6" fillId="0" borderId="0" xfId="0" applyNumberFormat="1" applyFont="1" applyFill="1" applyBorder="1" applyAlignment="1" applyProtection="1">
      <alignment horizontal="center" vertical="center"/>
    </xf>
    <xf numFmtId="0" fontId="16" fillId="0" borderId="0" xfId="0" applyFont="1"/>
    <xf numFmtId="168" fontId="9" fillId="3" borderId="2" xfId="0" applyNumberFormat="1" applyFont="1" applyFill="1" applyBorder="1" applyAlignment="1" applyProtection="1">
      <alignment vertical="center"/>
    </xf>
    <xf numFmtId="1" fontId="9" fillId="3" borderId="2" xfId="0" applyNumberFormat="1" applyFont="1" applyFill="1" applyBorder="1" applyAlignment="1" applyProtection="1">
      <alignment horizontal="right" vertical="center"/>
    </xf>
    <xf numFmtId="2" fontId="9" fillId="3" borderId="2" xfId="0" applyNumberFormat="1" applyFont="1" applyFill="1" applyBorder="1" applyAlignment="1" applyProtection="1">
      <alignment horizontal="right" vertical="center"/>
    </xf>
    <xf numFmtId="164" fontId="9" fillId="3" borderId="2" xfId="0" applyNumberFormat="1" applyFont="1" applyFill="1" applyBorder="1" applyAlignment="1" applyProtection="1">
      <alignment horizontal="right" vertical="center"/>
    </xf>
    <xf numFmtId="166" fontId="9" fillId="3" borderId="2" xfId="0" applyNumberFormat="1" applyFont="1" applyFill="1" applyBorder="1" applyAlignment="1" applyProtection="1">
      <alignment horizontal="right" vertical="center"/>
    </xf>
    <xf numFmtId="166" fontId="9" fillId="3" borderId="1" xfId="0" applyNumberFormat="1" applyFont="1" applyFill="1" applyBorder="1" applyAlignment="1" applyProtection="1">
      <alignment vertical="center"/>
    </xf>
    <xf numFmtId="166" fontId="9" fillId="3" borderId="1" xfId="0" applyNumberFormat="1" applyFont="1" applyFill="1" applyBorder="1" applyAlignment="1" applyProtection="1">
      <alignment horizontal="right" vertical="center"/>
    </xf>
    <xf numFmtId="166" fontId="9" fillId="3" borderId="4" xfId="0" applyNumberFormat="1" applyFont="1" applyFill="1" applyBorder="1" applyAlignment="1" applyProtection="1">
      <alignment vertical="center"/>
    </xf>
    <xf numFmtId="166" fontId="9" fillId="3" borderId="2" xfId="0" applyNumberFormat="1" applyFont="1" applyFill="1" applyBorder="1" applyAlignment="1" applyProtection="1">
      <alignment vertical="center"/>
    </xf>
    <xf numFmtId="2" fontId="9" fillId="0" borderId="2" xfId="0" applyNumberFormat="1" applyFont="1" applyFill="1" applyBorder="1" applyAlignment="1" applyProtection="1">
      <alignment vertical="center"/>
      <protection locked="0"/>
    </xf>
    <xf numFmtId="164" fontId="9" fillId="3" borderId="2" xfId="0" applyNumberFormat="1" applyFont="1" applyFill="1" applyBorder="1" applyAlignment="1" applyProtection="1">
      <alignment vertical="center"/>
    </xf>
    <xf numFmtId="164" fontId="9" fillId="3" borderId="1" xfId="0" applyNumberFormat="1" applyFont="1" applyFill="1" applyBorder="1" applyAlignment="1" applyProtection="1">
      <alignment vertical="center"/>
    </xf>
    <xf numFmtId="166" fontId="10" fillId="3" borderId="2" xfId="0" applyNumberFormat="1" applyFont="1" applyFill="1" applyBorder="1" applyAlignment="1" applyProtection="1">
      <alignment vertical="center"/>
    </xf>
    <xf numFmtId="49" fontId="9" fillId="0" borderId="1" xfId="0" applyNumberFormat="1" applyFont="1" applyFill="1" applyBorder="1" applyAlignment="1" applyProtection="1">
      <alignment horizontal="right" vertical="center"/>
      <protection locked="0"/>
    </xf>
    <xf numFmtId="166" fontId="9" fillId="0" borderId="4" xfId="0" applyNumberFormat="1" applyFont="1" applyFill="1" applyBorder="1" applyAlignment="1" applyProtection="1">
      <alignment vertical="center"/>
      <protection locked="0"/>
    </xf>
    <xf numFmtId="164" fontId="9" fillId="0" borderId="2" xfId="0" applyNumberFormat="1" applyFont="1" applyFill="1" applyBorder="1" applyAlignment="1" applyProtection="1">
      <alignment vertical="center"/>
      <protection locked="0"/>
    </xf>
    <xf numFmtId="0" fontId="9" fillId="0" borderId="2" xfId="0" applyNumberFormat="1" applyFont="1" applyFill="1" applyBorder="1" applyAlignment="1" applyProtection="1">
      <alignment vertical="center"/>
      <protection locked="0"/>
    </xf>
    <xf numFmtId="0" fontId="9" fillId="0" borderId="2" xfId="0" applyFont="1" applyFill="1" applyBorder="1" applyAlignment="1" applyProtection="1">
      <alignment horizontal="left" vertical="center"/>
      <protection locked="0"/>
    </xf>
    <xf numFmtId="0" fontId="9" fillId="0" borderId="2" xfId="0" applyFont="1" applyFill="1" applyBorder="1" applyAlignment="1" applyProtection="1">
      <alignment vertical="center"/>
      <protection locked="0"/>
    </xf>
    <xf numFmtId="0" fontId="9" fillId="0" borderId="0" xfId="0" applyFont="1" applyFill="1" applyProtection="1"/>
    <xf numFmtId="49" fontId="19" fillId="0" borderId="0" xfId="0" applyNumberFormat="1" applyFont="1" applyFill="1" applyProtection="1"/>
    <xf numFmtId="49" fontId="9" fillId="0" borderId="0" xfId="0" applyNumberFormat="1" applyFont="1" applyFill="1" applyAlignment="1" applyProtection="1">
      <alignment horizontal="right"/>
    </xf>
    <xf numFmtId="49" fontId="19" fillId="0" borderId="0" xfId="0" applyNumberFormat="1" applyFont="1" applyFill="1"/>
    <xf numFmtId="49" fontId="19" fillId="0" borderId="0" xfId="0" applyNumberFormat="1" applyFont="1" applyFill="1" applyAlignment="1" applyProtection="1">
      <alignment horizontal="left"/>
    </xf>
    <xf numFmtId="0" fontId="16" fillId="0" borderId="0" xfId="0" applyFont="1" applyAlignment="1">
      <alignment vertical="center"/>
    </xf>
    <xf numFmtId="0" fontId="10" fillId="0" borderId="0" xfId="0" applyFont="1" applyFill="1" applyBorder="1" applyProtection="1"/>
    <xf numFmtId="0" fontId="9" fillId="0" borderId="0" xfId="0" applyFont="1" applyFill="1" applyBorder="1" applyAlignment="1" applyProtection="1">
      <alignment vertical="center"/>
    </xf>
    <xf numFmtId="164" fontId="9" fillId="0" borderId="1" xfId="0" applyNumberFormat="1" applyFont="1" applyFill="1" applyBorder="1" applyAlignment="1" applyProtection="1">
      <alignment vertical="center"/>
      <protection locked="0"/>
    </xf>
    <xf numFmtId="164" fontId="9" fillId="0" borderId="13" xfId="0" applyNumberFormat="1" applyFont="1" applyFill="1" applyBorder="1" applyAlignment="1" applyProtection="1">
      <alignment vertical="center"/>
      <protection locked="0"/>
    </xf>
    <xf numFmtId="0" fontId="9" fillId="0" borderId="0" xfId="0" applyFont="1" applyFill="1" applyBorder="1" applyAlignment="1" applyProtection="1"/>
    <xf numFmtId="0" fontId="9" fillId="0" borderId="0" xfId="0" applyFont="1" applyFill="1" applyBorder="1" applyAlignment="1" applyProtection="1">
      <alignment wrapText="1"/>
    </xf>
    <xf numFmtId="49" fontId="9" fillId="2" borderId="10" xfId="0" applyNumberFormat="1" applyFont="1" applyFill="1" applyBorder="1" applyAlignment="1" applyProtection="1">
      <alignment horizontal="left"/>
      <protection locked="0"/>
    </xf>
    <xf numFmtId="0" fontId="9" fillId="0" borderId="0" xfId="0" applyFont="1" applyFill="1" applyBorder="1" applyAlignment="1" applyProtection="1">
      <alignment vertical="center" wrapText="1"/>
    </xf>
    <xf numFmtId="49" fontId="9" fillId="2" borderId="10" xfId="0" applyNumberFormat="1" applyFont="1" applyFill="1" applyBorder="1" applyAlignment="1" applyProtection="1">
      <alignment horizontal="left" vertical="center"/>
      <protection locked="0"/>
    </xf>
    <xf numFmtId="164" fontId="9" fillId="0" borderId="14" xfId="0" applyNumberFormat="1" applyFont="1" applyFill="1" applyBorder="1" applyAlignment="1" applyProtection="1">
      <alignment vertical="center"/>
      <protection locked="0"/>
    </xf>
    <xf numFmtId="164" fontId="9" fillId="0" borderId="15" xfId="0" applyNumberFormat="1" applyFont="1" applyFill="1" applyBorder="1" applyAlignment="1" applyProtection="1">
      <alignment vertical="center"/>
      <protection locked="0"/>
    </xf>
    <xf numFmtId="164" fontId="9" fillId="2" borderId="14" xfId="0" applyNumberFormat="1" applyFont="1" applyFill="1" applyBorder="1" applyAlignment="1" applyProtection="1">
      <alignment vertical="center"/>
      <protection locked="0"/>
    </xf>
    <xf numFmtId="0" fontId="9" fillId="0" borderId="0" xfId="0" applyFont="1" applyFill="1" applyBorder="1" applyAlignment="1" applyProtection="1">
      <alignment vertical="top"/>
    </xf>
    <xf numFmtId="0" fontId="9" fillId="0" borderId="0" xfId="0" applyFont="1" applyFill="1" applyBorder="1" applyProtection="1"/>
    <xf numFmtId="164" fontId="9" fillId="0" borderId="0" xfId="0" applyNumberFormat="1" applyFont="1" applyFill="1" applyBorder="1" applyAlignment="1" applyProtection="1">
      <alignment vertical="top"/>
    </xf>
    <xf numFmtId="0" fontId="9" fillId="0" borderId="0" xfId="0" applyFont="1" applyFill="1" applyBorder="1" applyAlignment="1" applyProtection="1">
      <alignment horizontal="left"/>
    </xf>
    <xf numFmtId="49" fontId="9" fillId="0" borderId="0" xfId="0" applyNumberFormat="1" applyFont="1" applyFill="1" applyBorder="1" applyAlignment="1" applyProtection="1">
      <alignment horizontal="left"/>
    </xf>
    <xf numFmtId="0" fontId="10" fillId="0" borderId="0" xfId="0" applyFont="1" applyFill="1" applyBorder="1" applyAlignment="1" applyProtection="1">
      <alignment vertical="center"/>
    </xf>
    <xf numFmtId="49" fontId="9" fillId="0" borderId="0" xfId="0" applyNumberFormat="1" applyFont="1" applyFill="1" applyBorder="1" applyAlignment="1" applyProtection="1">
      <alignment textRotation="90"/>
    </xf>
    <xf numFmtId="166" fontId="9" fillId="3" borderId="11" xfId="0" applyNumberFormat="1" applyFont="1" applyFill="1" applyBorder="1" applyAlignment="1" applyProtection="1">
      <alignment horizontal="right" vertical="center"/>
    </xf>
    <xf numFmtId="166" fontId="9" fillId="3" borderId="11" xfId="0" applyNumberFormat="1" applyFont="1" applyFill="1" applyBorder="1" applyAlignment="1" applyProtection="1">
      <alignment vertical="center"/>
    </xf>
    <xf numFmtId="166" fontId="9" fillId="3" borderId="11" xfId="0" applyNumberFormat="1" applyFont="1" applyFill="1" applyBorder="1" applyAlignment="1" applyProtection="1"/>
    <xf numFmtId="0" fontId="10" fillId="0" borderId="0" xfId="0" applyFont="1" applyFill="1" applyBorder="1" applyAlignment="1" applyProtection="1">
      <alignment vertical="center" wrapText="1"/>
    </xf>
    <xf numFmtId="0" fontId="19" fillId="0" borderId="0" xfId="0" applyFont="1" applyFill="1" applyAlignment="1" applyProtection="1">
      <alignment horizontal="left" indent="1"/>
    </xf>
    <xf numFmtId="0" fontId="9" fillId="0" borderId="0" xfId="0" applyFont="1" applyFill="1" applyAlignment="1" applyProtection="1">
      <alignment horizontal="left" indent="1"/>
    </xf>
    <xf numFmtId="0" fontId="8" fillId="0" borderId="0" xfId="0" applyFont="1" applyFill="1" applyBorder="1" applyAlignment="1" applyProtection="1">
      <alignment vertical="center"/>
    </xf>
    <xf numFmtId="176" fontId="6" fillId="3" borderId="2" xfId="0" applyNumberFormat="1" applyFont="1" applyFill="1" applyBorder="1" applyAlignment="1" applyProtection="1">
      <alignment horizontal="right" vertical="center"/>
    </xf>
    <xf numFmtId="177" fontId="6" fillId="3" borderId="2" xfId="0" applyNumberFormat="1" applyFont="1" applyFill="1" applyBorder="1" applyAlignment="1" applyProtection="1">
      <alignment horizontal="right" vertical="center"/>
    </xf>
    <xf numFmtId="178" fontId="6" fillId="3" borderId="2" xfId="0" applyNumberFormat="1" applyFont="1" applyFill="1" applyBorder="1" applyAlignment="1" applyProtection="1">
      <alignment horizontal="right" vertical="center"/>
    </xf>
    <xf numFmtId="177" fontId="9" fillId="3" borderId="2" xfId="0" applyNumberFormat="1" applyFont="1" applyFill="1" applyBorder="1" applyAlignment="1" applyProtection="1">
      <alignment horizontal="right" vertical="center"/>
    </xf>
    <xf numFmtId="0" fontId="12" fillId="0" borderId="0" xfId="0" applyFont="1" applyAlignment="1">
      <alignment vertical="center"/>
    </xf>
    <xf numFmtId="0" fontId="0" fillId="0" borderId="0" xfId="0" applyAlignment="1">
      <alignment vertical="center"/>
    </xf>
    <xf numFmtId="167" fontId="9" fillId="0" borderId="1" xfId="0" applyNumberFormat="1" applyFont="1" applyFill="1" applyBorder="1" applyAlignment="1" applyProtection="1">
      <alignment horizontal="left" vertical="center" indent="1"/>
      <protection locked="0"/>
    </xf>
    <xf numFmtId="165" fontId="9" fillId="3" borderId="2" xfId="0" applyNumberFormat="1" applyFont="1" applyFill="1" applyBorder="1" applyAlignment="1" applyProtection="1">
      <alignment horizontal="left" vertical="center" indent="1"/>
    </xf>
    <xf numFmtId="49" fontId="9" fillId="0" borderId="2" xfId="0" applyNumberFormat="1" applyFont="1" applyFill="1" applyBorder="1" applyAlignment="1" applyProtection="1">
      <alignment horizontal="left" vertical="center" indent="1"/>
      <protection locked="0"/>
    </xf>
    <xf numFmtId="167" fontId="12" fillId="0" borderId="0" xfId="0" applyNumberFormat="1" applyFont="1"/>
    <xf numFmtId="164" fontId="9" fillId="2" borderId="14" xfId="0" applyNumberFormat="1" applyFont="1" applyFill="1" applyBorder="1" applyAlignment="1" applyProtection="1">
      <alignment horizontal="right" vertical="center"/>
      <protection locked="0"/>
    </xf>
    <xf numFmtId="2" fontId="9" fillId="0" borderId="4" xfId="0" applyNumberFormat="1" applyFont="1" applyFill="1" applyBorder="1" applyAlignment="1" applyProtection="1">
      <alignment horizontal="left" vertical="center" indent="1"/>
      <protection locked="0"/>
    </xf>
    <xf numFmtId="167" fontId="9" fillId="0" borderId="2" xfId="0" applyNumberFormat="1" applyFont="1" applyFill="1" applyBorder="1" applyAlignment="1" applyProtection="1">
      <alignment horizontal="left" vertical="center" indent="1"/>
      <protection locked="0"/>
    </xf>
    <xf numFmtId="178" fontId="9" fillId="0" borderId="1" xfId="0" applyNumberFormat="1" applyFont="1" applyFill="1" applyBorder="1" applyAlignment="1" applyProtection="1">
      <alignment horizontal="left" vertical="center" indent="1"/>
      <protection locked="0"/>
    </xf>
    <xf numFmtId="164" fontId="9" fillId="0" borderId="6" xfId="0" applyNumberFormat="1" applyFont="1" applyFill="1" applyBorder="1" applyAlignment="1" applyProtection="1">
      <alignment vertical="center"/>
      <protection locked="0"/>
    </xf>
    <xf numFmtId="178" fontId="9" fillId="3" borderId="2" xfId="0" applyNumberFormat="1" applyFont="1" applyFill="1" applyBorder="1" applyAlignment="1" applyProtection="1">
      <alignment vertical="center"/>
    </xf>
    <xf numFmtId="178" fontId="9" fillId="3" borderId="13" xfId="0" applyNumberFormat="1" applyFont="1" applyFill="1" applyBorder="1" applyAlignment="1" applyProtection="1">
      <alignment vertical="center"/>
    </xf>
    <xf numFmtId="178" fontId="9" fillId="3" borderId="1" xfId="0" applyNumberFormat="1" applyFont="1" applyFill="1" applyBorder="1" applyAlignment="1" applyProtection="1">
      <alignment vertical="center"/>
    </xf>
    <xf numFmtId="0" fontId="9" fillId="0" borderId="2" xfId="0" applyNumberFormat="1" applyFont="1" applyFill="1" applyBorder="1" applyAlignment="1" applyProtection="1">
      <alignment horizontal="center" vertical="center"/>
      <protection locked="0"/>
    </xf>
    <xf numFmtId="176" fontId="9" fillId="3" borderId="2" xfId="0" applyNumberFormat="1" applyFont="1" applyFill="1" applyBorder="1" applyAlignment="1" applyProtection="1">
      <alignment horizontal="right" vertical="center"/>
    </xf>
    <xf numFmtId="9" fontId="9" fillId="3" borderId="2" xfId="0" applyNumberFormat="1" applyFont="1" applyFill="1" applyBorder="1" applyAlignment="1" applyProtection="1">
      <alignment horizontal="right" vertical="center"/>
    </xf>
    <xf numFmtId="166" fontId="9" fillId="3" borderId="2" xfId="0" applyNumberFormat="1" applyFont="1" applyFill="1" applyBorder="1" applyAlignment="1" applyProtection="1"/>
    <xf numFmtId="2" fontId="9" fillId="3" borderId="2" xfId="0" applyNumberFormat="1" applyFont="1" applyFill="1" applyBorder="1" applyAlignment="1" applyProtection="1">
      <alignment vertical="center"/>
    </xf>
    <xf numFmtId="49" fontId="9" fillId="0" borderId="3" xfId="0" applyNumberFormat="1" applyFont="1" applyFill="1" applyBorder="1" applyAlignment="1" applyProtection="1">
      <alignment horizontal="right" vertical="center"/>
      <protection locked="0"/>
    </xf>
    <xf numFmtId="166" fontId="9" fillId="0" borderId="14" xfId="0" applyNumberFormat="1" applyFont="1" applyFill="1" applyBorder="1" applyAlignment="1" applyProtection="1">
      <alignment vertical="center"/>
      <protection locked="0"/>
    </xf>
    <xf numFmtId="1" fontId="9" fillId="0" borderId="17" xfId="0" applyNumberFormat="1" applyFont="1" applyFill="1" applyBorder="1" applyAlignment="1" applyProtection="1">
      <alignment vertical="center"/>
      <protection locked="0"/>
    </xf>
    <xf numFmtId="166" fontId="9" fillId="0" borderId="3" xfId="0" applyNumberFormat="1" applyFont="1" applyFill="1" applyBorder="1" applyAlignment="1" applyProtection="1">
      <alignment vertical="center"/>
      <protection locked="0"/>
    </xf>
    <xf numFmtId="166" fontId="9" fillId="3" borderId="18" xfId="0" applyNumberFormat="1" applyFont="1" applyFill="1" applyBorder="1" applyAlignment="1" applyProtection="1">
      <alignment horizontal="right" vertical="center"/>
    </xf>
    <xf numFmtId="2" fontId="6" fillId="3" borderId="2" xfId="0" applyNumberFormat="1" applyFont="1" applyFill="1" applyBorder="1" applyAlignment="1" applyProtection="1">
      <alignment horizontal="left" vertical="center" indent="1"/>
    </xf>
    <xf numFmtId="164" fontId="9" fillId="0" borderId="2"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horizontal="left" vertical="center" indent="1"/>
      <protection locked="0"/>
    </xf>
    <xf numFmtId="0" fontId="9" fillId="0" borderId="2" xfId="0" applyFont="1" applyFill="1" applyBorder="1" applyAlignment="1" applyProtection="1">
      <alignment horizontal="left" vertical="center" indent="1"/>
      <protection locked="0"/>
    </xf>
    <xf numFmtId="2" fontId="6" fillId="3" borderId="2" xfId="0" applyNumberFormat="1" applyFont="1" applyFill="1" applyBorder="1" applyAlignment="1" applyProtection="1">
      <alignment horizontal="right" vertical="center"/>
    </xf>
    <xf numFmtId="0" fontId="9" fillId="0" borderId="1" xfId="0" applyFont="1" applyFill="1" applyBorder="1" applyAlignment="1" applyProtection="1">
      <alignment horizontal="left" vertical="center" indent="1"/>
      <protection locked="0"/>
    </xf>
    <xf numFmtId="2" fontId="0" fillId="0" borderId="0" xfId="0" applyNumberFormat="1" applyAlignment="1">
      <alignment vertical="center"/>
    </xf>
    <xf numFmtId="2" fontId="12" fillId="0" borderId="0" xfId="0" applyNumberFormat="1" applyFont="1"/>
    <xf numFmtId="49" fontId="20" fillId="4" borderId="2" xfId="0" applyNumberFormat="1" applyFont="1" applyFill="1" applyBorder="1" applyAlignment="1" applyProtection="1">
      <alignment horizontal="left" vertical="center" indent="1"/>
    </xf>
    <xf numFmtId="1" fontId="20" fillId="4" borderId="3" xfId="0" applyNumberFormat="1" applyFont="1" applyFill="1" applyBorder="1" applyAlignment="1" applyProtection="1">
      <alignment horizontal="center" vertical="center"/>
    </xf>
    <xf numFmtId="0" fontId="10" fillId="4" borderId="3" xfId="0" applyFont="1" applyFill="1" applyBorder="1" applyAlignment="1" applyProtection="1">
      <alignment vertical="center"/>
    </xf>
    <xf numFmtId="0" fontId="10" fillId="4" borderId="3" xfId="0" applyFont="1" applyFill="1" applyBorder="1" applyAlignment="1" applyProtection="1">
      <alignment horizontal="right" vertical="center"/>
    </xf>
    <xf numFmtId="0" fontId="10" fillId="4" borderId="4" xfId="0" applyFont="1" applyFill="1" applyBorder="1" applyAlignment="1" applyProtection="1">
      <alignment vertical="center"/>
    </xf>
    <xf numFmtId="0" fontId="10" fillId="4" borderId="2" xfId="0" applyFont="1" applyFill="1" applyBorder="1" applyAlignment="1" applyProtection="1">
      <alignment vertical="center"/>
    </xf>
    <xf numFmtId="0" fontId="10" fillId="5" borderId="2" xfId="0" applyFont="1" applyFill="1" applyBorder="1" applyAlignment="1" applyProtection="1">
      <alignment horizontal="left" vertical="center" indent="1"/>
    </xf>
    <xf numFmtId="0" fontId="9" fillId="4" borderId="0" xfId="0" applyFont="1" applyFill="1" applyBorder="1" applyAlignment="1" applyProtection="1">
      <alignment horizontal="left" vertical="center"/>
    </xf>
    <xf numFmtId="164" fontId="10" fillId="4" borderId="0" xfId="0" applyNumberFormat="1" applyFont="1" applyFill="1" applyBorder="1" applyAlignment="1" applyProtection="1">
      <alignment vertical="center"/>
    </xf>
    <xf numFmtId="0" fontId="9" fillId="4" borderId="10" xfId="0" applyFont="1" applyFill="1" applyBorder="1" applyAlignment="1" applyProtection="1">
      <alignment vertical="center"/>
    </xf>
    <xf numFmtId="0" fontId="10" fillId="5" borderId="13" xfId="0" applyFont="1" applyFill="1" applyBorder="1" applyAlignment="1" applyProtection="1">
      <alignment horizontal="left" vertical="center" indent="1"/>
    </xf>
    <xf numFmtId="0" fontId="10" fillId="4" borderId="0" xfId="0" applyFont="1" applyFill="1" applyBorder="1" applyAlignment="1" applyProtection="1">
      <alignment horizontal="left" vertical="center"/>
    </xf>
    <xf numFmtId="14" fontId="9" fillId="4" borderId="0" xfId="0" applyNumberFormat="1" applyFont="1" applyFill="1" applyBorder="1" applyAlignment="1" applyProtection="1">
      <alignment horizontal="left" vertical="center"/>
    </xf>
    <xf numFmtId="0" fontId="17" fillId="4" borderId="2" xfId="0" applyFont="1" applyFill="1" applyBorder="1" applyAlignment="1" applyProtection="1">
      <alignment horizontal="left" vertical="center" indent="1"/>
    </xf>
    <xf numFmtId="0" fontId="9" fillId="4" borderId="2" xfId="0" applyFont="1" applyFill="1" applyBorder="1" applyAlignment="1" applyProtection="1">
      <alignment vertical="center"/>
    </xf>
    <xf numFmtId="167" fontId="23" fillId="0" borderId="2" xfId="0" applyNumberFormat="1" applyFont="1" applyFill="1" applyBorder="1" applyAlignment="1" applyProtection="1">
      <alignment horizontal="left" vertical="center" indent="1"/>
      <protection locked="0"/>
    </xf>
    <xf numFmtId="0" fontId="17" fillId="4" borderId="1" xfId="0" applyFont="1" applyFill="1" applyBorder="1" applyAlignment="1" applyProtection="1">
      <alignment horizontal="left" vertical="center" indent="1"/>
    </xf>
    <xf numFmtId="0" fontId="9" fillId="4" borderId="4" xfId="0" applyFont="1" applyFill="1" applyBorder="1" applyAlignment="1" applyProtection="1">
      <alignment vertical="center"/>
    </xf>
    <xf numFmtId="174" fontId="9" fillId="4" borderId="0" xfId="0" applyNumberFormat="1" applyFont="1" applyFill="1" applyBorder="1" applyAlignment="1" applyProtection="1">
      <alignment horizontal="left" vertical="center"/>
    </xf>
    <xf numFmtId="166" fontId="10" fillId="4" borderId="0" xfId="0" applyNumberFormat="1" applyFont="1" applyFill="1" applyBorder="1" applyAlignment="1" applyProtection="1">
      <alignment vertical="center"/>
    </xf>
    <xf numFmtId="0" fontId="9" fillId="4" borderId="0" xfId="0" applyFont="1" applyFill="1" applyBorder="1" applyAlignment="1" applyProtection="1">
      <alignment vertical="center"/>
    </xf>
    <xf numFmtId="0" fontId="17" fillId="4" borderId="0" xfId="0" applyFont="1" applyFill="1" applyBorder="1" applyAlignment="1" applyProtection="1">
      <alignment vertical="center"/>
    </xf>
    <xf numFmtId="1" fontId="9" fillId="4" borderId="0" xfId="0" applyNumberFormat="1" applyFont="1" applyFill="1" applyBorder="1" applyAlignment="1" applyProtection="1">
      <alignment vertical="center"/>
    </xf>
    <xf numFmtId="0" fontId="21" fillId="4" borderId="0" xfId="0" applyFont="1" applyFill="1" applyBorder="1" applyAlignment="1" applyProtection="1">
      <alignment horizontal="left" vertical="center" indent="1"/>
    </xf>
    <xf numFmtId="0" fontId="9" fillId="4" borderId="0" xfId="0" applyFont="1" applyFill="1" applyBorder="1" applyProtection="1"/>
    <xf numFmtId="49" fontId="9" fillId="4" borderId="0" xfId="0" applyNumberFormat="1" applyFont="1" applyFill="1" applyBorder="1" applyAlignment="1" applyProtection="1">
      <alignment horizontal="right"/>
    </xf>
    <xf numFmtId="0" fontId="9" fillId="4" borderId="7" xfId="0" applyFont="1" applyFill="1" applyBorder="1" applyProtection="1"/>
    <xf numFmtId="0" fontId="9" fillId="4" borderId="0" xfId="0" applyFont="1" applyFill="1" applyProtection="1"/>
    <xf numFmtId="0" fontId="10" fillId="4" borderId="10" xfId="0" applyFont="1" applyFill="1" applyBorder="1" applyAlignment="1" applyProtection="1">
      <alignment horizontal="left" vertical="center" indent="1"/>
    </xf>
    <xf numFmtId="0" fontId="9" fillId="4" borderId="10" xfId="0" applyFont="1" applyFill="1" applyBorder="1" applyAlignment="1" applyProtection="1">
      <alignment vertical="center" wrapText="1"/>
    </xf>
    <xf numFmtId="49" fontId="9" fillId="4" borderId="10" xfId="0" applyNumberFormat="1" applyFont="1" applyFill="1" applyBorder="1" applyAlignment="1" applyProtection="1">
      <alignment horizontal="right" vertical="center" wrapText="1"/>
    </xf>
    <xf numFmtId="164" fontId="10" fillId="4" borderId="10" xfId="0" applyNumberFormat="1" applyFont="1" applyFill="1" applyBorder="1" applyAlignment="1" applyProtection="1">
      <alignment vertical="center"/>
    </xf>
    <xf numFmtId="0" fontId="9" fillId="4" borderId="0" xfId="0" applyFont="1" applyFill="1" applyBorder="1" applyAlignment="1" applyProtection="1">
      <alignment vertical="center" wrapText="1"/>
    </xf>
    <xf numFmtId="165" fontId="9" fillId="4" borderId="0" xfId="0" applyNumberFormat="1" applyFont="1" applyFill="1" applyBorder="1" applyAlignment="1" applyProtection="1">
      <alignment vertical="center" wrapText="1"/>
    </xf>
    <xf numFmtId="165" fontId="9" fillId="4" borderId="0" xfId="0" applyNumberFormat="1" applyFont="1" applyFill="1" applyAlignment="1" applyProtection="1">
      <alignment vertical="center" wrapText="1"/>
    </xf>
    <xf numFmtId="49" fontId="9" fillId="4" borderId="0" xfId="0" applyNumberFormat="1" applyFont="1" applyFill="1" applyBorder="1" applyAlignment="1" applyProtection="1">
      <alignment horizontal="right" vertical="center"/>
    </xf>
    <xf numFmtId="0" fontId="9" fillId="4" borderId="0" xfId="0" applyFont="1" applyFill="1" applyBorder="1" applyAlignment="1" applyProtection="1">
      <alignment horizontal="right" vertical="center" indent="1"/>
    </xf>
    <xf numFmtId="164" fontId="9" fillId="4" borderId="0" xfId="0" applyNumberFormat="1" applyFont="1" applyFill="1" applyBorder="1" applyAlignment="1" applyProtection="1">
      <alignment vertical="center"/>
    </xf>
    <xf numFmtId="0" fontId="9" fillId="4" borderId="0" xfId="0" applyFont="1" applyFill="1" applyAlignment="1" applyProtection="1">
      <alignment vertical="center"/>
    </xf>
    <xf numFmtId="0" fontId="9" fillId="4" borderId="7" xfId="0" applyFont="1" applyFill="1" applyBorder="1" applyAlignment="1" applyProtection="1">
      <alignment vertical="center"/>
    </xf>
    <xf numFmtId="49" fontId="9" fillId="4" borderId="7" xfId="0" applyNumberFormat="1" applyFont="1" applyFill="1" applyBorder="1" applyAlignment="1" applyProtection="1">
      <alignment horizontal="right" vertical="center"/>
    </xf>
    <xf numFmtId="0" fontId="9" fillId="4" borderId="7" xfId="0" applyFont="1" applyFill="1" applyBorder="1" applyAlignment="1" applyProtection="1">
      <alignment horizontal="right" vertical="center" indent="1"/>
    </xf>
    <xf numFmtId="1" fontId="9" fillId="4" borderId="11" xfId="0" applyNumberFormat="1" applyFont="1" applyFill="1" applyBorder="1" applyAlignment="1" applyProtection="1">
      <alignment vertical="center"/>
    </xf>
    <xf numFmtId="2" fontId="9" fillId="4" borderId="11" xfId="0" applyNumberFormat="1" applyFont="1" applyFill="1" applyBorder="1" applyAlignment="1" applyProtection="1">
      <alignment vertical="center"/>
    </xf>
    <xf numFmtId="0" fontId="10" fillId="5" borderId="5" xfId="0" applyFont="1" applyFill="1" applyBorder="1" applyAlignment="1" applyProtection="1">
      <alignment horizontal="right" wrapText="1" indent="1"/>
    </xf>
    <xf numFmtId="0" fontId="10" fillId="5" borderId="11" xfId="0" applyFont="1" applyFill="1" applyBorder="1" applyAlignment="1" applyProtection="1">
      <alignment horizontal="right" wrapText="1"/>
    </xf>
    <xf numFmtId="0" fontId="10" fillId="5" borderId="12" xfId="0" applyFont="1" applyFill="1" applyBorder="1" applyAlignment="1" applyProtection="1">
      <alignment horizontal="right" wrapText="1"/>
    </xf>
    <xf numFmtId="0" fontId="10" fillId="4" borderId="0" xfId="0" applyFont="1" applyFill="1" applyBorder="1" applyAlignment="1" applyProtection="1">
      <alignment wrapText="1"/>
    </xf>
    <xf numFmtId="0" fontId="10" fillId="5" borderId="2" xfId="0" applyFont="1" applyFill="1" applyBorder="1" applyAlignment="1" applyProtection="1">
      <alignment horizontal="right" wrapText="1"/>
    </xf>
    <xf numFmtId="0" fontId="10" fillId="5" borderId="1" xfId="0" applyFont="1" applyFill="1" applyBorder="1" applyAlignment="1" applyProtection="1">
      <alignment horizontal="right" wrapText="1"/>
    </xf>
    <xf numFmtId="169" fontId="10" fillId="5" borderId="1" xfId="0" applyNumberFormat="1" applyFont="1" applyFill="1" applyBorder="1" applyAlignment="1" applyProtection="1">
      <alignment horizontal="right" vertical="center" indent="1"/>
    </xf>
    <xf numFmtId="2" fontId="9" fillId="6" borderId="2" xfId="0" applyNumberFormat="1" applyFont="1" applyFill="1" applyBorder="1" applyAlignment="1" applyProtection="1">
      <alignment vertical="center"/>
      <protection locked="0"/>
    </xf>
    <xf numFmtId="0" fontId="10" fillId="4" borderId="0" xfId="0" applyFont="1" applyFill="1" applyAlignment="1" applyProtection="1">
      <alignment horizontal="right" vertical="center" indent="1"/>
    </xf>
    <xf numFmtId="166" fontId="10" fillId="7" borderId="2" xfId="0" applyNumberFormat="1" applyFont="1" applyFill="1" applyBorder="1" applyAlignment="1" applyProtection="1">
      <alignment vertical="center"/>
    </xf>
    <xf numFmtId="166" fontId="10" fillId="4" borderId="0" xfId="0" applyNumberFormat="1" applyFont="1" applyFill="1" applyBorder="1" applyAlignment="1" applyProtection="1">
      <alignment horizontal="right" vertical="center"/>
    </xf>
    <xf numFmtId="2" fontId="10" fillId="7" borderId="2" xfId="0" applyNumberFormat="1" applyFont="1" applyFill="1" applyBorder="1" applyAlignment="1" applyProtection="1">
      <alignment horizontal="right" vertical="center"/>
    </xf>
    <xf numFmtId="1" fontId="9" fillId="7" borderId="2" xfId="0" applyNumberFormat="1" applyFont="1" applyFill="1" applyBorder="1" applyAlignment="1" applyProtection="1">
      <alignment vertical="center"/>
    </xf>
    <xf numFmtId="49" fontId="9" fillId="4" borderId="0" xfId="0" applyNumberFormat="1" applyFont="1" applyFill="1" applyAlignment="1" applyProtection="1">
      <alignment horizontal="right"/>
    </xf>
    <xf numFmtId="0" fontId="9" fillId="4" borderId="0" xfId="0" applyFont="1" applyFill="1" applyAlignment="1" applyProtection="1">
      <alignment horizontal="center" vertical="top" wrapText="1"/>
    </xf>
    <xf numFmtId="0" fontId="21" fillId="4" borderId="0" xfId="0" applyFont="1" applyFill="1" applyAlignment="1" applyProtection="1">
      <alignment horizontal="left" indent="1"/>
    </xf>
    <xf numFmtId="0" fontId="10" fillId="4" borderId="0" xfId="0" applyFont="1" applyFill="1" applyProtection="1"/>
    <xf numFmtId="49" fontId="10" fillId="4" borderId="0" xfId="0" applyNumberFormat="1" applyFont="1" applyFill="1" applyAlignment="1" applyProtection="1">
      <alignment horizontal="right"/>
    </xf>
    <xf numFmtId="0" fontId="10" fillId="4" borderId="12" xfId="0" applyFont="1" applyFill="1" applyBorder="1" applyAlignment="1" applyProtection="1">
      <alignment horizontal="center" wrapText="1"/>
    </xf>
    <xf numFmtId="0" fontId="10" fillId="5" borderId="13" xfId="0" applyFont="1" applyFill="1" applyBorder="1" applyAlignment="1" applyProtection="1">
      <alignment horizontal="right" wrapText="1"/>
    </xf>
    <xf numFmtId="0" fontId="9" fillId="4" borderId="0" xfId="0" applyFont="1" applyFill="1" applyBorder="1" applyAlignment="1" applyProtection="1">
      <alignment wrapText="1"/>
    </xf>
    <xf numFmtId="0" fontId="9" fillId="5" borderId="2" xfId="0" applyFont="1" applyFill="1" applyBorder="1" applyAlignment="1" applyProtection="1">
      <alignment horizontal="right" wrapText="1"/>
    </xf>
    <xf numFmtId="0" fontId="9" fillId="4" borderId="0" xfId="0" applyFont="1" applyFill="1" applyAlignment="1" applyProtection="1">
      <alignment wrapText="1"/>
    </xf>
    <xf numFmtId="0" fontId="10" fillId="5" borderId="1" xfId="0" applyFont="1" applyFill="1" applyBorder="1" applyAlignment="1" applyProtection="1">
      <alignment horizontal="right" vertical="center" indent="1"/>
    </xf>
    <xf numFmtId="166" fontId="10" fillId="7" borderId="4" xfId="0" applyNumberFormat="1" applyFont="1" applyFill="1" applyBorder="1" applyAlignment="1" applyProtection="1">
      <alignment vertical="center"/>
    </xf>
    <xf numFmtId="0" fontId="9" fillId="4" borderId="5" xfId="0" applyNumberFormat="1" applyFont="1" applyFill="1" applyBorder="1" applyAlignment="1" applyProtection="1">
      <alignment horizontal="right" vertical="center" wrapText="1"/>
    </xf>
    <xf numFmtId="0" fontId="9" fillId="4" borderId="12" xfId="0" applyNumberFormat="1" applyFont="1" applyFill="1" applyBorder="1" applyAlignment="1" applyProtection="1">
      <alignment horizontal="left" vertical="center" wrapText="1"/>
    </xf>
    <xf numFmtId="164" fontId="10" fillId="5" borderId="2" xfId="0" applyNumberFormat="1" applyFont="1" applyFill="1" applyBorder="1" applyAlignment="1" applyProtection="1">
      <alignment vertical="center"/>
    </xf>
    <xf numFmtId="0" fontId="10" fillId="5" borderId="2" xfId="0" applyFont="1" applyFill="1" applyBorder="1" applyAlignment="1" applyProtection="1">
      <alignment vertical="center"/>
    </xf>
    <xf numFmtId="0" fontId="10" fillId="5" borderId="2" xfId="0" applyFont="1" applyFill="1" applyBorder="1" applyAlignment="1" applyProtection="1">
      <alignment horizontal="right" vertical="center" indent="1"/>
    </xf>
    <xf numFmtId="166" fontId="10" fillId="7" borderId="14" xfId="0" applyNumberFormat="1" applyFont="1" applyFill="1" applyBorder="1" applyAlignment="1" applyProtection="1">
      <alignment vertical="center"/>
    </xf>
    <xf numFmtId="166" fontId="9" fillId="8" borderId="16" xfId="0" applyNumberFormat="1" applyFont="1" applyFill="1" applyBorder="1" applyAlignment="1" applyProtection="1">
      <alignment horizontal="right" vertical="center"/>
    </xf>
    <xf numFmtId="166" fontId="10" fillId="7" borderId="11" xfId="0" applyNumberFormat="1" applyFont="1" applyFill="1" applyBorder="1" applyAlignment="1" applyProtection="1">
      <alignment vertical="center"/>
    </xf>
    <xf numFmtId="164" fontId="18" fillId="4" borderId="0" xfId="0" applyNumberFormat="1" applyFont="1" applyFill="1" applyBorder="1" applyAlignment="1" applyProtection="1">
      <alignment vertical="center"/>
    </xf>
    <xf numFmtId="166" fontId="9" fillId="6" borderId="2" xfId="0" applyNumberFormat="1" applyFont="1" applyFill="1" applyBorder="1" applyAlignment="1" applyProtection="1">
      <alignment vertical="center"/>
      <protection locked="0"/>
    </xf>
    <xf numFmtId="0" fontId="23" fillId="0" borderId="0" xfId="0" applyFont="1" applyFill="1" applyAlignment="1" applyProtection="1">
      <alignment vertical="center"/>
    </xf>
    <xf numFmtId="0" fontId="23" fillId="0" borderId="0" xfId="0" applyFont="1" applyFill="1" applyProtection="1"/>
    <xf numFmtId="166" fontId="23" fillId="0" borderId="0" xfId="0" applyNumberFormat="1" applyFont="1" applyFill="1" applyProtection="1"/>
    <xf numFmtId="170" fontId="20" fillId="4" borderId="1" xfId="0" applyNumberFormat="1" applyFont="1" applyFill="1" applyBorder="1" applyAlignment="1" applyProtection="1">
      <alignment horizontal="right" vertical="center" indent="1"/>
    </xf>
    <xf numFmtId="1" fontId="10" fillId="4" borderId="3" xfId="0" applyNumberFormat="1" applyFont="1" applyFill="1" applyBorder="1" applyAlignment="1" applyProtection="1">
      <alignment vertical="center"/>
    </xf>
    <xf numFmtId="1" fontId="10" fillId="4" borderId="3" xfId="0" applyNumberFormat="1" applyFont="1" applyFill="1" applyBorder="1" applyAlignment="1" applyProtection="1">
      <alignment horizontal="right" vertical="center"/>
    </xf>
    <xf numFmtId="0" fontId="10" fillId="4" borderId="3" xfId="0" applyFont="1" applyFill="1" applyBorder="1" applyAlignment="1" applyProtection="1">
      <alignment horizontal="left" vertical="center"/>
    </xf>
    <xf numFmtId="49" fontId="10" fillId="4" borderId="3" xfId="0" applyNumberFormat="1" applyFont="1" applyFill="1" applyBorder="1" applyAlignment="1" applyProtection="1">
      <alignment horizontal="left" vertical="center"/>
    </xf>
    <xf numFmtId="0" fontId="10" fillId="4" borderId="10" xfId="0" applyFont="1" applyFill="1" applyBorder="1" applyAlignment="1" applyProtection="1">
      <alignment horizontal="left" vertical="center"/>
    </xf>
    <xf numFmtId="2" fontId="9" fillId="4" borderId="10" xfId="0" applyNumberFormat="1" applyFont="1" applyFill="1" applyBorder="1" applyAlignment="1" applyProtection="1">
      <alignment horizontal="right" vertical="center"/>
    </xf>
    <xf numFmtId="49" fontId="9" fillId="4" borderId="0" xfId="0" applyNumberFormat="1" applyFont="1" applyFill="1" applyBorder="1" applyAlignment="1" applyProtection="1">
      <alignment horizontal="left" vertical="center"/>
    </xf>
    <xf numFmtId="0" fontId="10" fillId="4" borderId="0" xfId="0" applyFont="1" applyFill="1" applyBorder="1" applyAlignment="1" applyProtection="1">
      <alignment vertical="center"/>
    </xf>
    <xf numFmtId="0" fontId="10" fillId="4" borderId="0" xfId="0" applyFont="1" applyFill="1" applyBorder="1" applyAlignment="1" applyProtection="1">
      <alignment horizontal="right" vertical="center" indent="1"/>
    </xf>
    <xf numFmtId="166" fontId="9" fillId="4" borderId="0" xfId="0" applyNumberFormat="1" applyFont="1" applyFill="1" applyBorder="1" applyAlignment="1" applyProtection="1">
      <alignment vertical="center"/>
    </xf>
    <xf numFmtId="0" fontId="9" fillId="4" borderId="0" xfId="0" applyFont="1" applyFill="1" applyBorder="1" applyAlignment="1" applyProtection="1">
      <alignment horizontal="right" vertical="center"/>
    </xf>
    <xf numFmtId="172" fontId="10" fillId="5" borderId="2" xfId="0" applyNumberFormat="1" applyFont="1" applyFill="1" applyBorder="1" applyAlignment="1" applyProtection="1">
      <alignment horizontal="center" vertical="center" wrapText="1"/>
    </xf>
    <xf numFmtId="166" fontId="9" fillId="6" borderId="2" xfId="0" applyNumberFormat="1" applyFont="1" applyFill="1" applyBorder="1" applyAlignment="1" applyProtection="1">
      <alignment horizontal="center" vertical="center"/>
      <protection locked="0"/>
    </xf>
    <xf numFmtId="0" fontId="10" fillId="5" borderId="2" xfId="0" applyNumberFormat="1" applyFont="1" applyFill="1" applyBorder="1" applyAlignment="1" applyProtection="1">
      <alignment horizontal="center" vertical="center" wrapText="1"/>
    </xf>
    <xf numFmtId="0" fontId="10" fillId="5" borderId="2" xfId="0" applyFont="1" applyFill="1" applyBorder="1" applyAlignment="1" applyProtection="1">
      <alignment horizontal="right" vertical="center" wrapText="1"/>
    </xf>
    <xf numFmtId="171" fontId="10" fillId="5" borderId="2" xfId="0" applyNumberFormat="1" applyFont="1" applyFill="1" applyBorder="1" applyAlignment="1" applyProtection="1">
      <alignment horizontal="center" vertical="center" wrapText="1"/>
    </xf>
    <xf numFmtId="0" fontId="10" fillId="5" borderId="2" xfId="0" applyFont="1" applyFill="1" applyBorder="1" applyAlignment="1" applyProtection="1">
      <alignment horizontal="left" vertical="center" wrapText="1" indent="1"/>
    </xf>
    <xf numFmtId="0" fontId="10" fillId="5" borderId="2" xfId="0" applyFont="1" applyFill="1" applyBorder="1" applyAlignment="1" applyProtection="1">
      <alignment vertical="center" wrapText="1"/>
    </xf>
    <xf numFmtId="0" fontId="10" fillId="5" borderId="1" xfId="0" applyFont="1" applyFill="1" applyBorder="1" applyAlignment="1" applyProtection="1">
      <alignment vertical="center" wrapText="1"/>
    </xf>
    <xf numFmtId="0" fontId="10" fillId="4" borderId="0" xfId="0" applyFont="1" applyFill="1" applyBorder="1" applyAlignment="1" applyProtection="1">
      <alignment vertical="center" wrapText="1"/>
    </xf>
    <xf numFmtId="2" fontId="10" fillId="5" borderId="13" xfId="0" applyNumberFormat="1" applyFont="1" applyFill="1" applyBorder="1" applyAlignment="1" applyProtection="1">
      <alignment horizontal="center" vertical="center" wrapText="1"/>
    </xf>
    <xf numFmtId="2" fontId="10" fillId="5" borderId="2" xfId="0" applyNumberFormat="1" applyFont="1" applyFill="1" applyBorder="1" applyAlignment="1" applyProtection="1">
      <alignment horizontal="center" vertical="center" wrapText="1"/>
    </xf>
    <xf numFmtId="2" fontId="10" fillId="5" borderId="1" xfId="0" applyNumberFormat="1" applyFont="1" applyFill="1" applyBorder="1" applyAlignment="1" applyProtection="1">
      <alignment horizontal="center" vertical="center" wrapText="1"/>
    </xf>
    <xf numFmtId="0" fontId="9" fillId="4" borderId="6" xfId="0" applyFont="1" applyFill="1" applyBorder="1" applyAlignment="1" applyProtection="1">
      <alignment horizontal="left" vertical="center" indent="1"/>
    </xf>
    <xf numFmtId="164" fontId="10" fillId="4" borderId="9" xfId="0" applyNumberFormat="1" applyFont="1" applyFill="1" applyBorder="1" applyAlignment="1" applyProtection="1">
      <alignment vertical="center"/>
    </xf>
    <xf numFmtId="0" fontId="10" fillId="4" borderId="9" xfId="0" applyNumberFormat="1" applyFont="1" applyFill="1" applyBorder="1" applyAlignment="1" applyProtection="1">
      <alignment vertical="center"/>
    </xf>
    <xf numFmtId="164" fontId="10" fillId="4" borderId="6" xfId="0" applyNumberFormat="1" applyFont="1" applyFill="1" applyBorder="1" applyAlignment="1" applyProtection="1">
      <alignment vertical="center"/>
    </xf>
    <xf numFmtId="164" fontId="9" fillId="4" borderId="6" xfId="0" applyNumberFormat="1" applyFont="1" applyFill="1" applyBorder="1" applyAlignment="1" applyProtection="1">
      <alignment vertical="center"/>
    </xf>
    <xf numFmtId="0" fontId="10" fillId="5" borderId="13" xfId="0" applyNumberFormat="1" applyFont="1" applyFill="1" applyBorder="1" applyAlignment="1" applyProtection="1">
      <alignment horizontal="center" vertical="center" wrapText="1"/>
    </xf>
    <xf numFmtId="0" fontId="10" fillId="5" borderId="1" xfId="0" applyNumberFormat="1" applyFont="1" applyFill="1" applyBorder="1" applyAlignment="1" applyProtection="1">
      <alignment horizontal="center" vertical="center" wrapText="1"/>
    </xf>
    <xf numFmtId="0" fontId="9" fillId="4" borderId="6" xfId="0" applyFont="1" applyFill="1" applyBorder="1" applyAlignment="1" applyProtection="1">
      <alignment horizontal="right" vertical="center" indent="1"/>
    </xf>
    <xf numFmtId="164" fontId="9" fillId="4" borderId="9" xfId="0" applyNumberFormat="1" applyFont="1" applyFill="1" applyBorder="1" applyAlignment="1" applyProtection="1">
      <alignment vertical="center"/>
    </xf>
    <xf numFmtId="0" fontId="9" fillId="4" borderId="9" xfId="0" applyNumberFormat="1" applyFont="1" applyFill="1" applyBorder="1" applyAlignment="1" applyProtection="1">
      <alignment vertical="center"/>
    </xf>
    <xf numFmtId="0" fontId="9" fillId="4" borderId="2" xfId="0" applyFont="1" applyFill="1" applyBorder="1" applyAlignment="1" applyProtection="1">
      <alignment horizontal="right" vertical="center" indent="1"/>
    </xf>
    <xf numFmtId="178" fontId="9" fillId="8" borderId="2" xfId="0" applyNumberFormat="1" applyFont="1" applyFill="1" applyBorder="1" applyAlignment="1" applyProtection="1">
      <alignment vertical="center"/>
    </xf>
    <xf numFmtId="0" fontId="9" fillId="4" borderId="2" xfId="0" applyFont="1" applyFill="1" applyBorder="1" applyAlignment="1" applyProtection="1">
      <alignment horizontal="left" vertical="center" indent="1"/>
    </xf>
    <xf numFmtId="49" fontId="9" fillId="4" borderId="3" xfId="0" applyNumberFormat="1" applyFont="1" applyFill="1" applyBorder="1" applyAlignment="1" applyProtection="1">
      <alignment horizontal="left" vertical="center"/>
    </xf>
    <xf numFmtId="164" fontId="9" fillId="8" borderId="4" xfId="0" applyNumberFormat="1" applyFont="1" applyFill="1" applyBorder="1" applyAlignment="1" applyProtection="1">
      <alignment vertical="center"/>
    </xf>
    <xf numFmtId="0" fontId="9" fillId="4" borderId="8" xfId="0" applyFont="1" applyFill="1" applyBorder="1" applyAlignment="1" applyProtection="1">
      <alignment horizontal="right" vertical="center" indent="1"/>
    </xf>
    <xf numFmtId="164" fontId="9" fillId="4" borderId="7" xfId="0" applyNumberFormat="1" applyFont="1" applyFill="1" applyBorder="1" applyAlignment="1" applyProtection="1">
      <alignment vertical="center"/>
    </xf>
    <xf numFmtId="164" fontId="9" fillId="4" borderId="12" xfId="0" applyNumberFormat="1" applyFont="1" applyFill="1" applyBorder="1" applyAlignment="1" applyProtection="1">
      <alignment vertical="center"/>
    </xf>
    <xf numFmtId="164" fontId="9" fillId="4" borderId="3" xfId="0" applyNumberFormat="1" applyFont="1" applyFill="1" applyBorder="1" applyAlignment="1" applyProtection="1">
      <alignment vertical="center"/>
    </xf>
    <xf numFmtId="164" fontId="9" fillId="4" borderId="4" xfId="0" applyNumberFormat="1" applyFont="1" applyFill="1" applyBorder="1" applyAlignment="1" applyProtection="1">
      <alignment vertical="center"/>
    </xf>
    <xf numFmtId="178" fontId="9" fillId="8" borderId="13" xfId="0" applyNumberFormat="1" applyFont="1" applyFill="1" applyBorder="1" applyAlignment="1" applyProtection="1">
      <alignment vertical="center"/>
    </xf>
    <xf numFmtId="164" fontId="9" fillId="4" borderId="10" xfId="0" applyNumberFormat="1" applyFont="1" applyFill="1" applyBorder="1" applyAlignment="1" applyProtection="1">
      <alignment vertical="center"/>
    </xf>
    <xf numFmtId="164" fontId="9" fillId="4" borderId="14" xfId="0" applyNumberFormat="1" applyFont="1" applyFill="1" applyBorder="1" applyAlignment="1" applyProtection="1">
      <alignment vertical="center"/>
    </xf>
    <xf numFmtId="49" fontId="9" fillId="4" borderId="1" xfId="0" applyNumberFormat="1" applyFont="1" applyFill="1" applyBorder="1" applyAlignment="1" applyProtection="1">
      <alignment horizontal="left" vertical="center"/>
    </xf>
    <xf numFmtId="0" fontId="9" fillId="9" borderId="2" xfId="0" applyNumberFormat="1" applyFont="1" applyFill="1" applyBorder="1" applyAlignment="1" applyProtection="1">
      <alignment horizontal="right" vertical="center"/>
    </xf>
    <xf numFmtId="164" fontId="9" fillId="6" borderId="4" xfId="0" applyNumberFormat="1" applyFont="1" applyFill="1" applyBorder="1" applyAlignment="1" applyProtection="1">
      <alignment vertical="center"/>
      <protection locked="0"/>
    </xf>
    <xf numFmtId="0" fontId="9" fillId="4" borderId="5" xfId="0" applyFont="1" applyFill="1" applyBorder="1" applyAlignment="1" applyProtection="1">
      <alignment horizontal="right" vertical="center" indent="1"/>
    </xf>
    <xf numFmtId="0" fontId="9" fillId="4" borderId="11" xfId="0" applyFont="1" applyFill="1" applyBorder="1" applyAlignment="1" applyProtection="1">
      <alignment horizontal="left" vertical="center" indent="1"/>
    </xf>
    <xf numFmtId="49" fontId="9" fillId="4" borderId="7" xfId="0" applyNumberFormat="1" applyFont="1" applyFill="1" applyBorder="1" applyAlignment="1" applyProtection="1">
      <alignment horizontal="left" vertical="center"/>
    </xf>
    <xf numFmtId="178" fontId="9" fillId="7" borderId="13" xfId="0" applyNumberFormat="1" applyFont="1" applyFill="1" applyBorder="1" applyAlignment="1" applyProtection="1">
      <alignment vertical="center"/>
    </xf>
    <xf numFmtId="178" fontId="9" fillId="7" borderId="11" xfId="0" applyNumberFormat="1" applyFont="1" applyFill="1" applyBorder="1" applyAlignment="1" applyProtection="1">
      <alignment vertical="center"/>
    </xf>
    <xf numFmtId="178" fontId="9" fillId="7" borderId="2" xfId="0" applyNumberFormat="1" applyFont="1" applyFill="1" applyBorder="1" applyAlignment="1" applyProtection="1">
      <alignment vertical="center"/>
    </xf>
    <xf numFmtId="178" fontId="9" fillId="7" borderId="1" xfId="0" applyNumberFormat="1" applyFont="1" applyFill="1" applyBorder="1" applyAlignment="1" applyProtection="1">
      <alignment vertical="center"/>
    </xf>
    <xf numFmtId="164" fontId="9" fillId="7" borderId="4" xfId="0" applyNumberFormat="1" applyFont="1" applyFill="1" applyBorder="1" applyAlignment="1" applyProtection="1">
      <alignment vertical="center"/>
    </xf>
    <xf numFmtId="174" fontId="9" fillId="4" borderId="6" xfId="0" applyNumberFormat="1" applyFont="1" applyFill="1" applyBorder="1" applyAlignment="1" applyProtection="1">
      <alignment vertical="center"/>
    </xf>
    <xf numFmtId="0" fontId="9" fillId="4" borderId="13" xfId="0" applyFont="1" applyFill="1" applyBorder="1" applyAlignment="1" applyProtection="1">
      <alignment horizontal="left" vertical="center" indent="1"/>
    </xf>
    <xf numFmtId="178" fontId="9" fillId="9" borderId="2" xfId="0" applyNumberFormat="1" applyFont="1" applyFill="1" applyBorder="1" applyAlignment="1" applyProtection="1">
      <alignment vertical="center"/>
    </xf>
    <xf numFmtId="178" fontId="9" fillId="9" borderId="13" xfId="0" applyNumberFormat="1" applyFont="1" applyFill="1" applyBorder="1" applyAlignment="1" applyProtection="1">
      <alignment vertical="center"/>
    </xf>
    <xf numFmtId="178" fontId="9" fillId="9" borderId="1" xfId="0" applyNumberFormat="1" applyFont="1" applyFill="1" applyBorder="1" applyAlignment="1" applyProtection="1">
      <alignment vertical="center"/>
    </xf>
    <xf numFmtId="0" fontId="9" fillId="4" borderId="6" xfId="0" quotePrefix="1" applyFont="1" applyFill="1" applyBorder="1" applyAlignment="1" applyProtection="1">
      <alignment horizontal="right" vertical="center" indent="1"/>
    </xf>
    <xf numFmtId="164" fontId="9" fillId="9" borderId="4" xfId="0" applyNumberFormat="1" applyFont="1" applyFill="1" applyBorder="1" applyAlignment="1" applyProtection="1">
      <alignment vertical="center"/>
    </xf>
    <xf numFmtId="164" fontId="10" fillId="7" borderId="2" xfId="0" applyNumberFormat="1" applyFont="1" applyFill="1" applyBorder="1" applyAlignment="1" applyProtection="1">
      <alignment vertical="center"/>
    </xf>
    <xf numFmtId="182" fontId="9" fillId="9" borderId="2" xfId="0" applyNumberFormat="1" applyFont="1" applyFill="1" applyBorder="1" applyAlignment="1" applyProtection="1">
      <alignment vertical="center"/>
    </xf>
    <xf numFmtId="0" fontId="9" fillId="4" borderId="8" xfId="0" applyFont="1" applyFill="1" applyBorder="1" applyAlignment="1" applyProtection="1">
      <alignment horizontal="right" wrapText="1" indent="1"/>
    </xf>
    <xf numFmtId="164" fontId="9" fillId="4" borderId="0" xfId="0" applyNumberFormat="1" applyFont="1" applyFill="1" applyBorder="1" applyAlignment="1" applyProtection="1">
      <alignment wrapText="1"/>
    </xf>
    <xf numFmtId="1" fontId="9" fillId="4" borderId="0" xfId="0" applyNumberFormat="1" applyFont="1" applyFill="1" applyBorder="1" applyAlignment="1" applyProtection="1">
      <alignment wrapText="1"/>
    </xf>
    <xf numFmtId="166" fontId="9" fillId="4" borderId="10" xfId="0" applyNumberFormat="1" applyFont="1" applyFill="1" applyBorder="1" applyAlignment="1" applyProtection="1">
      <alignment vertical="center"/>
    </xf>
    <xf numFmtId="164" fontId="9" fillId="4" borderId="0" xfId="0" applyNumberFormat="1" applyFont="1" applyFill="1" applyBorder="1" applyAlignment="1" applyProtection="1">
      <alignment vertical="center" wrapText="1"/>
    </xf>
    <xf numFmtId="166" fontId="9" fillId="4" borderId="0" xfId="0" applyNumberFormat="1" applyFont="1" applyFill="1" applyBorder="1" applyAlignment="1" applyProtection="1">
      <alignment wrapText="1"/>
    </xf>
    <xf numFmtId="164" fontId="9" fillId="4" borderId="9" xfId="0" applyNumberFormat="1" applyFont="1" applyFill="1" applyBorder="1" applyAlignment="1" applyProtection="1">
      <alignment wrapText="1"/>
    </xf>
    <xf numFmtId="0" fontId="9" fillId="4" borderId="9" xfId="0" applyNumberFormat="1" applyFont="1" applyFill="1" applyBorder="1" applyAlignment="1" applyProtection="1">
      <alignment horizontal="right" vertical="center"/>
      <protection locked="0"/>
    </xf>
    <xf numFmtId="164" fontId="9" fillId="4" borderId="6" xfId="0" applyNumberFormat="1" applyFont="1" applyFill="1" applyBorder="1" applyAlignment="1" applyProtection="1">
      <alignment horizontal="right" vertical="center"/>
    </xf>
    <xf numFmtId="164" fontId="9" fillId="4" borderId="6" xfId="0" applyNumberFormat="1" applyFont="1" applyFill="1" applyBorder="1" applyAlignment="1" applyProtection="1">
      <alignment vertical="center" wrapText="1"/>
    </xf>
    <xf numFmtId="0" fontId="9" fillId="4" borderId="8" xfId="0" applyFont="1" applyFill="1" applyBorder="1" applyAlignment="1" applyProtection="1">
      <alignment horizontal="right" vertical="center" wrapText="1" indent="1"/>
    </xf>
    <xf numFmtId="164" fontId="9" fillId="4" borderId="9" xfId="0" applyNumberFormat="1" applyFont="1" applyFill="1" applyBorder="1" applyAlignment="1" applyProtection="1">
      <alignment vertical="center" wrapText="1"/>
    </xf>
    <xf numFmtId="0" fontId="9" fillId="4" borderId="6" xfId="0" applyFont="1" applyFill="1" applyBorder="1" applyAlignment="1" applyProtection="1">
      <alignment horizontal="right" vertical="center" wrapText="1" indent="1"/>
    </xf>
    <xf numFmtId="0" fontId="9" fillId="4" borderId="4" xfId="0" applyNumberFormat="1" applyFont="1" applyFill="1" applyBorder="1" applyAlignment="1" applyProtection="1">
      <alignment vertical="center"/>
    </xf>
    <xf numFmtId="164" fontId="9" fillId="4" borderId="2" xfId="0" applyNumberFormat="1" applyFont="1" applyFill="1" applyBorder="1" applyAlignment="1" applyProtection="1">
      <alignment vertical="center"/>
    </xf>
    <xf numFmtId="164" fontId="9" fillId="6" borderId="13" xfId="0" applyNumberFormat="1" applyFont="1" applyFill="1" applyBorder="1" applyAlignment="1" applyProtection="1">
      <alignment vertical="center"/>
      <protection locked="0"/>
    </xf>
    <xf numFmtId="164" fontId="9" fillId="6" borderId="2" xfId="0" applyNumberFormat="1" applyFont="1" applyFill="1" applyBorder="1" applyAlignment="1" applyProtection="1">
      <alignment vertical="center"/>
      <protection locked="0"/>
    </xf>
    <xf numFmtId="164" fontId="9" fillId="6" borderId="1" xfId="0" applyNumberFormat="1" applyFont="1" applyFill="1" applyBorder="1" applyAlignment="1" applyProtection="1">
      <alignment vertical="center"/>
      <protection locked="0"/>
    </xf>
    <xf numFmtId="166" fontId="9" fillId="4" borderId="9" xfId="0" applyNumberFormat="1" applyFont="1" applyFill="1" applyBorder="1" applyAlignment="1" applyProtection="1">
      <alignment wrapText="1"/>
    </xf>
    <xf numFmtId="0" fontId="9" fillId="4" borderId="6" xfId="0" applyFont="1" applyFill="1" applyBorder="1" applyAlignment="1" applyProtection="1">
      <alignment horizontal="right" vertical="center" wrapText="1" indent="1" shrinkToFit="1"/>
    </xf>
    <xf numFmtId="49" fontId="9" fillId="4" borderId="3" xfId="0" applyNumberFormat="1" applyFont="1" applyFill="1" applyBorder="1" applyAlignment="1" applyProtection="1">
      <alignment horizontal="left" wrapText="1"/>
    </xf>
    <xf numFmtId="166" fontId="9" fillId="4" borderId="9" xfId="0" applyNumberFormat="1" applyFont="1" applyFill="1" applyBorder="1" applyAlignment="1" applyProtection="1">
      <alignment vertical="center"/>
    </xf>
    <xf numFmtId="0" fontId="9" fillId="4" borderId="9" xfId="0" applyNumberFormat="1" applyFont="1" applyFill="1" applyBorder="1" applyAlignment="1" applyProtection="1">
      <alignment vertical="center"/>
      <protection locked="0"/>
    </xf>
    <xf numFmtId="164" fontId="9" fillId="4" borderId="2" xfId="0" applyNumberFormat="1" applyFont="1" applyFill="1" applyBorder="1" applyAlignment="1" applyProtection="1">
      <alignment vertical="center" wrapText="1"/>
    </xf>
    <xf numFmtId="164" fontId="9" fillId="9" borderId="4" xfId="0" applyNumberFormat="1" applyFont="1" applyFill="1" applyBorder="1" applyAlignment="1" applyProtection="1">
      <alignment horizontal="right" vertical="center"/>
    </xf>
    <xf numFmtId="180" fontId="9" fillId="9" borderId="2" xfId="0" applyNumberFormat="1" applyFont="1" applyFill="1" applyBorder="1" applyAlignment="1" applyProtection="1">
      <alignment vertical="center"/>
    </xf>
    <xf numFmtId="49" fontId="9" fillId="4" borderId="15" xfId="0" applyNumberFormat="1" applyFont="1" applyFill="1" applyBorder="1" applyAlignment="1" applyProtection="1">
      <alignment horizontal="left" vertical="center"/>
    </xf>
    <xf numFmtId="0" fontId="9" fillId="7" borderId="4" xfId="0" applyNumberFormat="1" applyFont="1" applyFill="1" applyBorder="1" applyAlignment="1" applyProtection="1">
      <alignment vertical="center"/>
    </xf>
    <xf numFmtId="0" fontId="9" fillId="9" borderId="4" xfId="0" applyNumberFormat="1" applyFont="1" applyFill="1" applyBorder="1" applyAlignment="1" applyProtection="1">
      <alignment vertical="center"/>
    </xf>
    <xf numFmtId="0" fontId="10" fillId="7" borderId="2" xfId="0" applyNumberFormat="1" applyFont="1" applyFill="1" applyBorder="1" applyAlignment="1" applyProtection="1">
      <alignment vertical="center"/>
    </xf>
    <xf numFmtId="0" fontId="9" fillId="4" borderId="2" xfId="0" applyNumberFormat="1" applyFont="1" applyFill="1" applyBorder="1" applyAlignment="1" applyProtection="1">
      <alignment vertical="center"/>
    </xf>
    <xf numFmtId="164" fontId="10" fillId="4" borderId="2" xfId="0" applyNumberFormat="1" applyFont="1" applyFill="1" applyBorder="1" applyAlignment="1" applyProtection="1">
      <alignment vertical="center"/>
    </xf>
    <xf numFmtId="179" fontId="9" fillId="9" borderId="2" xfId="0" applyNumberFormat="1" applyFont="1" applyFill="1" applyBorder="1" applyAlignment="1" applyProtection="1">
      <alignment vertical="center"/>
    </xf>
    <xf numFmtId="179" fontId="9" fillId="9" borderId="13" xfId="0" applyNumberFormat="1" applyFont="1" applyFill="1" applyBorder="1" applyAlignment="1" applyProtection="1">
      <alignment vertical="center"/>
    </xf>
    <xf numFmtId="179" fontId="9" fillId="9" borderId="1" xfId="0" applyNumberFormat="1" applyFont="1" applyFill="1" applyBorder="1" applyAlignment="1" applyProtection="1">
      <alignment vertical="center"/>
    </xf>
    <xf numFmtId="164" fontId="9" fillId="4" borderId="11" xfId="0" applyNumberFormat="1" applyFont="1" applyFill="1" applyBorder="1" applyAlignment="1" applyProtection="1">
      <alignment vertical="center"/>
    </xf>
    <xf numFmtId="164" fontId="9" fillId="4" borderId="13" xfId="0" applyNumberFormat="1" applyFont="1" applyFill="1" applyBorder="1" applyAlignment="1" applyProtection="1">
      <alignment vertical="center"/>
    </xf>
    <xf numFmtId="164" fontId="9" fillId="7" borderId="12" xfId="0" applyNumberFormat="1" applyFont="1" applyFill="1" applyBorder="1" applyAlignment="1" applyProtection="1">
      <alignment vertical="center"/>
    </xf>
    <xf numFmtId="49" fontId="9" fillId="4" borderId="10" xfId="0" applyNumberFormat="1" applyFont="1" applyFill="1" applyBorder="1" applyAlignment="1" applyProtection="1">
      <alignment horizontal="left" vertical="center"/>
    </xf>
    <xf numFmtId="0" fontId="9" fillId="4" borderId="6" xfId="0" applyFont="1" applyFill="1" applyBorder="1" applyAlignment="1" applyProtection="1">
      <alignment vertical="center"/>
    </xf>
    <xf numFmtId="0" fontId="9" fillId="4" borderId="0" xfId="0" applyFont="1" applyFill="1" applyBorder="1" applyAlignment="1" applyProtection="1">
      <alignment vertical="top"/>
    </xf>
    <xf numFmtId="0" fontId="9" fillId="4" borderId="11" xfId="0" applyFont="1" applyFill="1" applyBorder="1" applyAlignment="1" applyProtection="1">
      <alignment vertical="center"/>
    </xf>
    <xf numFmtId="0" fontId="9" fillId="4" borderId="10" xfId="0" applyFont="1" applyFill="1" applyBorder="1" applyAlignment="1" applyProtection="1">
      <alignment horizontal="right" vertical="center" indent="1"/>
    </xf>
    <xf numFmtId="0" fontId="9" fillId="4" borderId="10" xfId="0" applyFont="1" applyFill="1" applyBorder="1" applyAlignment="1" applyProtection="1">
      <alignment horizontal="left" vertical="center" indent="1"/>
    </xf>
    <xf numFmtId="0" fontId="9" fillId="4" borderId="10" xfId="0" applyNumberFormat="1" applyFont="1" applyFill="1" applyBorder="1" applyAlignment="1" applyProtection="1">
      <alignment vertical="center"/>
    </xf>
    <xf numFmtId="164" fontId="9" fillId="4" borderId="0" xfId="0" applyNumberFormat="1" applyFont="1" applyFill="1" applyBorder="1" applyProtection="1"/>
    <xf numFmtId="164" fontId="9" fillId="4" borderId="10" xfId="0" applyNumberFormat="1" applyFont="1" applyFill="1" applyBorder="1" applyProtection="1"/>
    <xf numFmtId="164" fontId="9" fillId="4" borderId="0" xfId="0" applyNumberFormat="1" applyFont="1" applyFill="1" applyBorder="1" applyAlignment="1" applyProtection="1">
      <alignment horizontal="left"/>
    </xf>
    <xf numFmtId="49" fontId="9" fillId="4" borderId="0" xfId="0" applyNumberFormat="1" applyFont="1" applyFill="1" applyBorder="1" applyAlignment="1" applyProtection="1">
      <alignment horizontal="left"/>
    </xf>
    <xf numFmtId="0" fontId="10" fillId="4" borderId="0" xfId="0" applyFont="1" applyFill="1" applyBorder="1" applyProtection="1"/>
    <xf numFmtId="164" fontId="9" fillId="4" borderId="0" xfId="0" applyNumberFormat="1" applyFont="1" applyFill="1" applyBorder="1" applyAlignment="1" applyProtection="1">
      <alignment vertical="top"/>
    </xf>
    <xf numFmtId="0" fontId="9" fillId="4" borderId="0" xfId="0" applyFont="1" applyFill="1" applyBorder="1" applyAlignment="1" applyProtection="1">
      <alignment horizontal="right" vertical="top"/>
    </xf>
    <xf numFmtId="49" fontId="9" fillId="4" borderId="0" xfId="0" applyNumberFormat="1" applyFont="1" applyFill="1" applyBorder="1" applyAlignment="1" applyProtection="1">
      <alignment horizontal="left" vertical="top"/>
    </xf>
    <xf numFmtId="164" fontId="10" fillId="4" borderId="0" xfId="0" applyNumberFormat="1" applyFont="1" applyFill="1" applyBorder="1" applyAlignment="1" applyProtection="1">
      <alignment vertical="top"/>
    </xf>
    <xf numFmtId="164" fontId="9" fillId="4" borderId="0" xfId="0" applyNumberFormat="1" applyFont="1" applyFill="1" applyBorder="1" applyAlignment="1" applyProtection="1">
      <alignment horizontal="left" vertical="top" indent="1"/>
    </xf>
    <xf numFmtId="0" fontId="9" fillId="4" borderId="0" xfId="0" applyFont="1" applyFill="1" applyBorder="1" applyAlignment="1" applyProtection="1">
      <alignment horizontal="right" indent="1"/>
    </xf>
    <xf numFmtId="0" fontId="9" fillId="4" borderId="0" xfId="0" applyFont="1" applyFill="1" applyBorder="1" applyAlignment="1" applyProtection="1">
      <alignment horizontal="left" indent="1"/>
    </xf>
    <xf numFmtId="164" fontId="9" fillId="4" borderId="0" xfId="0" applyNumberFormat="1" applyFont="1" applyFill="1" applyBorder="1" applyAlignment="1" applyProtection="1">
      <alignment horizontal="left" indent="1"/>
    </xf>
    <xf numFmtId="0" fontId="20" fillId="4" borderId="1" xfId="0" applyNumberFormat="1" applyFont="1" applyFill="1" applyBorder="1" applyAlignment="1" applyProtection="1">
      <alignment horizontal="left" vertical="center" indent="1"/>
    </xf>
    <xf numFmtId="0" fontId="20" fillId="4" borderId="3" xfId="0" applyNumberFormat="1" applyFont="1" applyFill="1" applyBorder="1" applyAlignment="1" applyProtection="1">
      <alignment vertical="center"/>
    </xf>
    <xf numFmtId="0" fontId="10" fillId="4" borderId="3" xfId="0" applyNumberFormat="1" applyFont="1" applyFill="1" applyBorder="1" applyAlignment="1" applyProtection="1">
      <alignment horizontal="right" vertical="center"/>
    </xf>
    <xf numFmtId="0" fontId="10" fillId="4" borderId="4" xfId="0" applyNumberFormat="1" applyFont="1" applyFill="1" applyBorder="1" applyAlignment="1" applyProtection="1">
      <alignment vertical="center"/>
    </xf>
    <xf numFmtId="0" fontId="10" fillId="4" borderId="0" xfId="0" applyNumberFormat="1" applyFont="1" applyFill="1" applyBorder="1" applyAlignment="1" applyProtection="1">
      <alignment horizontal="right" vertical="center"/>
    </xf>
    <xf numFmtId="0" fontId="10" fillId="5" borderId="2" xfId="0" applyNumberFormat="1" applyFont="1" applyFill="1" applyBorder="1" applyAlignment="1" applyProtection="1">
      <alignment horizontal="left" vertical="center" indent="1"/>
    </xf>
    <xf numFmtId="0" fontId="9" fillId="4" borderId="15" xfId="0" applyFont="1" applyFill="1" applyBorder="1" applyAlignment="1" applyProtection="1">
      <alignment vertical="center"/>
    </xf>
    <xf numFmtId="0" fontId="9" fillId="4" borderId="8" xfId="0" applyFont="1" applyFill="1" applyBorder="1" applyAlignment="1" applyProtection="1">
      <alignment vertical="center"/>
    </xf>
    <xf numFmtId="2" fontId="9" fillId="4" borderId="0" xfId="0" applyNumberFormat="1" applyFont="1" applyFill="1" applyBorder="1" applyAlignment="1" applyProtection="1">
      <alignment horizontal="right" vertical="center"/>
    </xf>
    <xf numFmtId="49" fontId="9" fillId="4" borderId="0" xfId="0" applyNumberFormat="1" applyFont="1" applyFill="1" applyBorder="1" applyAlignment="1" applyProtection="1">
      <alignment textRotation="90"/>
    </xf>
    <xf numFmtId="49" fontId="9" fillId="4" borderId="0" xfId="0" applyNumberFormat="1" applyFont="1" applyFill="1" applyBorder="1" applyAlignment="1" applyProtection="1">
      <alignment horizontal="center" textRotation="90" wrapText="1"/>
    </xf>
    <xf numFmtId="175" fontId="9" fillId="5" borderId="13" xfId="0" applyNumberFormat="1" applyFont="1" applyFill="1" applyBorder="1" applyAlignment="1" applyProtection="1">
      <alignment horizontal="center" textRotation="90" wrapText="1"/>
    </xf>
    <xf numFmtId="175" fontId="9" fillId="5" borderId="2" xfId="0" applyNumberFormat="1" applyFont="1" applyFill="1" applyBorder="1" applyAlignment="1" applyProtection="1">
      <alignment horizontal="center" textRotation="90" wrapText="1"/>
    </xf>
    <xf numFmtId="49" fontId="9" fillId="4" borderId="7" xfId="0" applyNumberFormat="1" applyFont="1" applyFill="1" applyBorder="1" applyAlignment="1" applyProtection="1">
      <alignment textRotation="90"/>
    </xf>
    <xf numFmtId="49" fontId="9" fillId="4" borderId="10" xfId="0" applyNumberFormat="1" applyFont="1" applyFill="1" applyBorder="1" applyAlignment="1" applyProtection="1">
      <alignment horizontal="center" textRotation="90" wrapText="1"/>
    </xf>
    <xf numFmtId="49" fontId="9" fillId="4" borderId="3" xfId="0" applyNumberFormat="1" applyFont="1" applyFill="1" applyBorder="1" applyAlignment="1" applyProtection="1">
      <alignment horizontal="center" textRotation="90" wrapText="1"/>
    </xf>
    <xf numFmtId="0" fontId="9" fillId="5" borderId="11" xfId="0" applyFont="1" applyFill="1" applyBorder="1" applyAlignment="1" applyProtection="1">
      <alignment horizontal="right" vertical="center" indent="1"/>
    </xf>
    <xf numFmtId="164" fontId="9" fillId="4" borderId="8" xfId="0" applyNumberFormat="1" applyFont="1" applyFill="1" applyBorder="1" applyAlignment="1" applyProtection="1">
      <alignment vertical="center"/>
    </xf>
    <xf numFmtId="166" fontId="9" fillId="4" borderId="0" xfId="0" applyNumberFormat="1" applyFont="1" applyFill="1" applyBorder="1" applyAlignment="1" applyProtection="1">
      <alignment horizontal="right" vertical="center"/>
    </xf>
    <xf numFmtId="166" fontId="9" fillId="4" borderId="7" xfId="0" applyNumberFormat="1" applyFont="1" applyFill="1" applyBorder="1" applyAlignment="1" applyProtection="1">
      <alignment horizontal="right" vertical="center"/>
    </xf>
    <xf numFmtId="166" fontId="9" fillId="4" borderId="7" xfId="0" applyNumberFormat="1" applyFont="1" applyFill="1" applyBorder="1" applyAlignment="1" applyProtection="1">
      <alignment vertical="center"/>
    </xf>
    <xf numFmtId="0" fontId="9" fillId="4" borderId="0" xfId="0" applyNumberFormat="1" applyFont="1" applyFill="1" applyBorder="1" applyAlignment="1" applyProtection="1">
      <alignment horizontal="right" vertical="center"/>
    </xf>
    <xf numFmtId="180" fontId="9" fillId="4" borderId="0" xfId="0" applyNumberFormat="1" applyFont="1" applyFill="1" applyBorder="1" applyAlignment="1" applyProtection="1">
      <alignment horizontal="right" vertical="center"/>
    </xf>
    <xf numFmtId="166" fontId="9" fillId="4" borderId="8" xfId="0" applyNumberFormat="1" applyFont="1" applyFill="1" applyBorder="1" applyAlignment="1" applyProtection="1">
      <alignment horizontal="right" vertical="center"/>
    </xf>
    <xf numFmtId="166" fontId="9" fillId="4" borderId="9" xfId="0" applyNumberFormat="1" applyFont="1" applyFill="1" applyBorder="1" applyAlignment="1" applyProtection="1">
      <alignment horizontal="right" vertical="center"/>
    </xf>
    <xf numFmtId="0" fontId="9" fillId="5" borderId="2" xfId="0" applyFont="1" applyFill="1" applyBorder="1" applyAlignment="1" applyProtection="1">
      <alignment horizontal="right" vertical="center" indent="1"/>
    </xf>
    <xf numFmtId="166" fontId="9" fillId="4" borderId="10" xfId="0" applyNumberFormat="1" applyFont="1" applyFill="1" applyBorder="1" applyAlignment="1" applyProtection="1">
      <alignment horizontal="right" vertical="center"/>
    </xf>
    <xf numFmtId="0" fontId="9" fillId="4" borderId="3" xfId="0" applyFont="1" applyFill="1" applyBorder="1" applyAlignment="1" applyProtection="1">
      <alignment horizontal="left" vertical="center" indent="1"/>
    </xf>
    <xf numFmtId="166" fontId="9" fillId="4" borderId="3" xfId="0" applyNumberFormat="1" applyFont="1" applyFill="1" applyBorder="1" applyAlignment="1" applyProtection="1">
      <alignment vertical="center"/>
    </xf>
    <xf numFmtId="0" fontId="9" fillId="4" borderId="7" xfId="0" applyNumberFormat="1" applyFont="1" applyFill="1" applyBorder="1" applyAlignment="1" applyProtection="1">
      <alignment vertical="center"/>
    </xf>
    <xf numFmtId="180" fontId="9" fillId="4" borderId="7" xfId="0" applyNumberFormat="1" applyFont="1" applyFill="1" applyBorder="1" applyAlignment="1" applyProtection="1">
      <alignment vertical="center"/>
    </xf>
    <xf numFmtId="169" fontId="9" fillId="5" borderId="2" xfId="0" applyNumberFormat="1" applyFont="1" applyFill="1" applyBorder="1" applyAlignment="1" applyProtection="1">
      <alignment horizontal="right" vertical="center" indent="1"/>
    </xf>
    <xf numFmtId="166" fontId="9" fillId="7" borderId="2" xfId="0" applyNumberFormat="1" applyFont="1" applyFill="1" applyBorder="1" applyAlignment="1" applyProtection="1">
      <alignment vertical="center"/>
    </xf>
    <xf numFmtId="181" fontId="9" fillId="7" borderId="12" xfId="0" applyNumberFormat="1" applyFont="1" applyFill="1" applyBorder="1" applyAlignment="1" applyProtection="1">
      <alignment vertical="center"/>
    </xf>
    <xf numFmtId="176" fontId="9" fillId="7" borderId="2" xfId="0" applyNumberFormat="1" applyFont="1" applyFill="1" applyBorder="1" applyAlignment="1" applyProtection="1">
      <alignment horizontal="right" vertical="center"/>
    </xf>
    <xf numFmtId="176" fontId="9" fillId="7" borderId="2" xfId="0" applyNumberFormat="1" applyFont="1" applyFill="1" applyBorder="1" applyAlignment="1" applyProtection="1">
      <alignment vertical="center"/>
    </xf>
    <xf numFmtId="166" fontId="9" fillId="4" borderId="14" xfId="0" applyNumberFormat="1" applyFont="1" applyFill="1" applyBorder="1" applyAlignment="1" applyProtection="1">
      <alignment vertical="center"/>
    </xf>
    <xf numFmtId="166" fontId="9" fillId="7" borderId="11" xfId="0" applyNumberFormat="1" applyFont="1" applyFill="1" applyBorder="1" applyAlignment="1" applyProtection="1">
      <alignment vertical="center"/>
    </xf>
    <xf numFmtId="180" fontId="9" fillId="4" borderId="10" xfId="0" applyNumberFormat="1" applyFont="1" applyFill="1" applyBorder="1" applyAlignment="1" applyProtection="1">
      <alignment vertical="center"/>
    </xf>
    <xf numFmtId="166" fontId="9" fillId="4" borderId="15" xfId="0" applyNumberFormat="1" applyFont="1" applyFill="1" applyBorder="1" applyAlignment="1" applyProtection="1">
      <alignment vertical="center"/>
    </xf>
    <xf numFmtId="0" fontId="9" fillId="4" borderId="2" xfId="0" applyFont="1" applyFill="1" applyBorder="1" applyAlignment="1" applyProtection="1">
      <alignment horizontal="right" wrapText="1" indent="1"/>
    </xf>
    <xf numFmtId="0" fontId="9" fillId="4" borderId="0" xfId="0" applyFont="1" applyFill="1" applyBorder="1" applyAlignment="1" applyProtection="1"/>
    <xf numFmtId="166" fontId="9" fillId="4" borderId="0" xfId="0" applyNumberFormat="1" applyFont="1" applyFill="1" applyBorder="1" applyAlignment="1" applyProtection="1"/>
    <xf numFmtId="0" fontId="20" fillId="4" borderId="1" xfId="0" applyNumberFormat="1" applyFont="1" applyFill="1" applyBorder="1" applyAlignment="1" applyProtection="1">
      <alignment vertical="center"/>
    </xf>
    <xf numFmtId="0" fontId="20" fillId="4" borderId="3" xfId="0" applyNumberFormat="1" applyFont="1" applyFill="1" applyBorder="1" applyAlignment="1" applyProtection="1">
      <alignment horizontal="left" vertical="center"/>
    </xf>
    <xf numFmtId="0" fontId="20" fillId="4" borderId="3" xfId="0" applyNumberFormat="1" applyFont="1" applyFill="1" applyBorder="1" applyAlignment="1" applyProtection="1">
      <alignment horizontal="center" vertical="center"/>
    </xf>
    <xf numFmtId="0" fontId="10" fillId="4" borderId="3" xfId="0" applyNumberFormat="1" applyFont="1" applyFill="1" applyBorder="1" applyAlignment="1" applyProtection="1">
      <alignment vertical="center"/>
    </xf>
    <xf numFmtId="0" fontId="9" fillId="4" borderId="3" xfId="0" applyFont="1" applyFill="1" applyBorder="1" applyAlignment="1" applyProtection="1">
      <alignment vertical="center"/>
    </xf>
    <xf numFmtId="174" fontId="9" fillId="4" borderId="0" xfId="0" applyNumberFormat="1" applyFont="1" applyFill="1" applyBorder="1" applyAlignment="1" applyProtection="1">
      <alignment vertical="center"/>
    </xf>
    <xf numFmtId="0" fontId="9" fillId="4" borderId="9" xfId="0" applyNumberFormat="1" applyFont="1" applyFill="1" applyBorder="1" applyAlignment="1" applyProtection="1">
      <alignment horizontal="center" textRotation="90"/>
    </xf>
    <xf numFmtId="175" fontId="9" fillId="5" borderId="2" xfId="0" applyNumberFormat="1" applyFont="1" applyFill="1" applyBorder="1" applyAlignment="1" applyProtection="1">
      <alignment horizontal="center" textRotation="90"/>
    </xf>
    <xf numFmtId="0" fontId="9" fillId="4" borderId="7" xfId="0" applyNumberFormat="1" applyFont="1" applyFill="1" applyBorder="1" applyAlignment="1" applyProtection="1">
      <alignment horizontal="center" textRotation="90"/>
    </xf>
    <xf numFmtId="9" fontId="9" fillId="7" borderId="2" xfId="0" applyNumberFormat="1" applyFont="1" applyFill="1" applyBorder="1" applyAlignment="1" applyProtection="1">
      <alignment vertical="center"/>
    </xf>
    <xf numFmtId="9" fontId="9" fillId="4" borderId="0" xfId="0" applyNumberFormat="1" applyFont="1" applyFill="1" applyBorder="1" applyAlignment="1" applyProtection="1">
      <alignment vertical="center"/>
    </xf>
    <xf numFmtId="0" fontId="9" fillId="4" borderId="10" xfId="0" applyFont="1" applyFill="1" applyBorder="1" applyProtection="1"/>
    <xf numFmtId="0" fontId="1" fillId="4" borderId="0" xfId="1" applyFont="1" applyFill="1" applyBorder="1" applyAlignment="1" applyProtection="1"/>
    <xf numFmtId="0" fontId="4" fillId="4" borderId="3" xfId="0" applyNumberFormat="1" applyFont="1" applyFill="1" applyBorder="1" applyAlignment="1" applyProtection="1">
      <alignment vertical="center"/>
    </xf>
    <xf numFmtId="0" fontId="6" fillId="4" borderId="10" xfId="0" applyFont="1" applyFill="1" applyBorder="1" applyAlignment="1" applyProtection="1">
      <alignment vertical="center"/>
    </xf>
    <xf numFmtId="0" fontId="6" fillId="4" borderId="0" xfId="0" applyFont="1" applyFill="1" applyBorder="1" applyAlignment="1" applyProtection="1">
      <alignment vertical="center"/>
    </xf>
    <xf numFmtId="0" fontId="7" fillId="4" borderId="0" xfId="0" applyFont="1" applyFill="1" applyBorder="1" applyAlignment="1" applyProtection="1">
      <alignment vertical="center"/>
    </xf>
    <xf numFmtId="0" fontId="6" fillId="4" borderId="0" xfId="0" applyNumberFormat="1" applyFont="1" applyFill="1" applyBorder="1" applyAlignment="1" applyProtection="1">
      <alignment vertical="center"/>
    </xf>
    <xf numFmtId="174" fontId="6" fillId="4" borderId="0" xfId="0" applyNumberFormat="1" applyFont="1" applyFill="1" applyBorder="1" applyAlignment="1" applyProtection="1">
      <alignment horizontal="center" vertical="center"/>
    </xf>
    <xf numFmtId="0" fontId="6" fillId="4" borderId="0" xfId="0" applyNumberFormat="1" applyFont="1" applyFill="1" applyBorder="1" applyAlignment="1" applyProtection="1">
      <alignment horizontal="center" vertical="center"/>
    </xf>
    <xf numFmtId="0" fontId="6" fillId="4" borderId="0" xfId="0" applyNumberFormat="1" applyFont="1" applyFill="1" applyBorder="1" applyAlignment="1" applyProtection="1">
      <alignment horizontal="center" textRotation="90"/>
    </xf>
    <xf numFmtId="175" fontId="6" fillId="5" borderId="13" xfId="0" applyNumberFormat="1" applyFont="1" applyFill="1" applyBorder="1" applyAlignment="1" applyProtection="1">
      <alignment horizontal="center" textRotation="90"/>
    </xf>
    <xf numFmtId="175" fontId="2" fillId="4" borderId="13" xfId="0" applyNumberFormat="1" applyFont="1" applyFill="1" applyBorder="1" applyAlignment="1" applyProtection="1">
      <alignment horizontal="center" textRotation="90" wrapText="1"/>
    </xf>
    <xf numFmtId="175" fontId="6" fillId="5" borderId="10" xfId="0" applyNumberFormat="1" applyFont="1" applyFill="1" applyBorder="1" applyAlignment="1" applyProtection="1">
      <alignment horizontal="center" textRotation="90"/>
    </xf>
    <xf numFmtId="175" fontId="6" fillId="4" borderId="0" xfId="0" applyNumberFormat="1" applyFont="1" applyFill="1" applyBorder="1" applyAlignment="1" applyProtection="1">
      <alignment vertical="center"/>
    </xf>
    <xf numFmtId="175" fontId="2" fillId="5" borderId="2" xfId="0" applyNumberFormat="1" applyFont="1" applyFill="1" applyBorder="1" applyAlignment="1" applyProtection="1">
      <alignment horizontal="center" textRotation="90" wrapText="1"/>
    </xf>
    <xf numFmtId="0" fontId="6" fillId="4" borderId="10" xfId="0" applyNumberFormat="1" applyFont="1" applyFill="1" applyBorder="1" applyAlignment="1" applyProtection="1">
      <alignment horizontal="center" textRotation="90"/>
    </xf>
    <xf numFmtId="49" fontId="6" fillId="4" borderId="0" xfId="0" applyNumberFormat="1" applyFont="1" applyFill="1" applyBorder="1" applyAlignment="1" applyProtection="1">
      <alignment horizontal="center" textRotation="90" wrapText="1"/>
    </xf>
    <xf numFmtId="0" fontId="6" fillId="9" borderId="2" xfId="0" applyFont="1" applyFill="1" applyBorder="1" applyAlignment="1" applyProtection="1">
      <alignment horizontal="left" vertical="center" indent="1"/>
    </xf>
    <xf numFmtId="0" fontId="6" fillId="4" borderId="0" xfId="0" applyNumberFormat="1" applyFont="1" applyFill="1" applyBorder="1" applyAlignment="1" applyProtection="1">
      <alignment horizontal="right" vertical="center"/>
    </xf>
    <xf numFmtId="166" fontId="6" fillId="4" borderId="0" xfId="0" applyNumberFormat="1" applyFont="1" applyFill="1" applyBorder="1" applyAlignment="1" applyProtection="1">
      <alignment vertical="center"/>
    </xf>
    <xf numFmtId="169" fontId="6" fillId="5" borderId="2" xfId="0" applyNumberFormat="1" applyFont="1" applyFill="1" applyBorder="1" applyAlignment="1" applyProtection="1">
      <alignment horizontal="right" vertical="center" indent="1"/>
    </xf>
    <xf numFmtId="178" fontId="6" fillId="7" borderId="2" xfId="0" applyNumberFormat="1" applyFont="1" applyFill="1" applyBorder="1" applyAlignment="1" applyProtection="1">
      <alignment horizontal="right" vertical="center"/>
    </xf>
    <xf numFmtId="177" fontId="2" fillId="7" borderId="2" xfId="0" applyNumberFormat="1" applyFont="1" applyFill="1" applyBorder="1" applyAlignment="1" applyProtection="1">
      <alignment horizontal="right" vertical="center"/>
    </xf>
    <xf numFmtId="0" fontId="6" fillId="4" borderId="3" xfId="0" applyNumberFormat="1" applyFont="1" applyFill="1" applyBorder="1" applyAlignment="1" applyProtection="1">
      <alignment vertical="center"/>
    </xf>
    <xf numFmtId="0" fontId="2" fillId="5" borderId="2" xfId="0" applyFont="1" applyFill="1" applyBorder="1" applyAlignment="1" applyProtection="1">
      <alignment horizontal="left" vertical="center" indent="1"/>
    </xf>
    <xf numFmtId="177" fontId="6" fillId="4" borderId="0" xfId="0" applyNumberFormat="1" applyFont="1" applyFill="1" applyBorder="1" applyAlignment="1" applyProtection="1">
      <alignment horizontal="right" vertical="center"/>
    </xf>
    <xf numFmtId="177" fontId="6" fillId="4" borderId="0" xfId="0" applyNumberFormat="1" applyFont="1" applyFill="1" applyBorder="1" applyAlignment="1" applyProtection="1">
      <alignment vertical="center"/>
    </xf>
    <xf numFmtId="177" fontId="6" fillId="7" borderId="2" xfId="0" applyNumberFormat="1" applyFont="1" applyFill="1" applyBorder="1" applyAlignment="1" applyProtection="1">
      <alignment vertical="center"/>
    </xf>
    <xf numFmtId="178" fontId="6" fillId="7" borderId="2" xfId="0" applyNumberFormat="1" applyFont="1" applyFill="1" applyBorder="1" applyAlignment="1" applyProtection="1">
      <alignment vertical="center"/>
    </xf>
    <xf numFmtId="0" fontId="2" fillId="4" borderId="2" xfId="0" applyFont="1" applyFill="1" applyBorder="1" applyAlignment="1" applyProtection="1">
      <alignment horizontal="left" vertical="center" indent="1"/>
    </xf>
    <xf numFmtId="177" fontId="6" fillId="7" borderId="2" xfId="0" applyNumberFormat="1" applyFont="1" applyFill="1" applyBorder="1" applyAlignment="1" applyProtection="1">
      <alignment horizontal="right" vertical="center"/>
    </xf>
    <xf numFmtId="177" fontId="6" fillId="4" borderId="6" xfId="0" applyNumberFormat="1" applyFont="1" applyFill="1" applyBorder="1" applyAlignment="1" applyProtection="1">
      <alignment horizontal="right" vertical="center"/>
    </xf>
    <xf numFmtId="177" fontId="6" fillId="4" borderId="8" xfId="0" applyNumberFormat="1" applyFont="1" applyFill="1" applyBorder="1" applyAlignment="1" applyProtection="1">
      <alignment horizontal="right" vertical="center"/>
    </xf>
    <xf numFmtId="0" fontId="1" fillId="4" borderId="0" xfId="1" applyFill="1" applyBorder="1" applyAlignment="1" applyProtection="1"/>
    <xf numFmtId="0" fontId="6" fillId="4" borderId="0" xfId="0" applyFont="1" applyFill="1" applyBorder="1" applyProtection="1"/>
    <xf numFmtId="0" fontId="6" fillId="4" borderId="0" xfId="0" applyNumberFormat="1" applyFont="1" applyFill="1" applyBorder="1" applyProtection="1"/>
    <xf numFmtId="0" fontId="6" fillId="4" borderId="0" xfId="0" applyFont="1" applyFill="1" applyBorder="1" applyAlignment="1" applyProtection="1">
      <alignment horizontal="right" indent="1"/>
    </xf>
    <xf numFmtId="0" fontId="24" fillId="0" borderId="0" xfId="0" applyFont="1" applyAlignment="1">
      <alignment horizontal="center" vertical="center"/>
    </xf>
    <xf numFmtId="0" fontId="12" fillId="7" borderId="13" xfId="0" applyFont="1" applyFill="1" applyBorder="1" applyAlignment="1">
      <alignment horizontal="center" textRotation="90"/>
    </xf>
    <xf numFmtId="166" fontId="12" fillId="10" borderId="19" xfId="0" applyNumberFormat="1" applyFont="1" applyFill="1" applyBorder="1"/>
    <xf numFmtId="167" fontId="12" fillId="0" borderId="0" xfId="0" applyNumberFormat="1" applyFont="1" applyBorder="1"/>
    <xf numFmtId="0" fontId="12" fillId="7" borderId="13" xfId="0" applyFont="1" applyFill="1" applyBorder="1" applyAlignment="1">
      <alignment horizontal="center" textRotation="90" wrapText="1"/>
    </xf>
    <xf numFmtId="2" fontId="12" fillId="7" borderId="13" xfId="0" applyNumberFormat="1" applyFont="1" applyFill="1" applyBorder="1" applyAlignment="1">
      <alignment horizontal="center" textRotation="90"/>
    </xf>
    <xf numFmtId="0" fontId="12" fillId="10" borderId="10" xfId="0" applyNumberFormat="1" applyFont="1" applyFill="1" applyBorder="1"/>
    <xf numFmtId="0" fontId="12" fillId="10" borderId="20" xfId="0" applyNumberFormat="1" applyFont="1" applyFill="1" applyBorder="1"/>
    <xf numFmtId="173" fontId="12" fillId="10" borderId="10" xfId="0" applyNumberFormat="1" applyFont="1" applyFill="1" applyBorder="1"/>
    <xf numFmtId="173" fontId="12" fillId="10" borderId="20" xfId="0" applyNumberFormat="1" applyFont="1" applyFill="1" applyBorder="1"/>
    <xf numFmtId="10" fontId="12" fillId="10" borderId="21" xfId="0" applyNumberFormat="1" applyFont="1" applyFill="1" applyBorder="1"/>
    <xf numFmtId="10" fontId="12" fillId="10" borderId="22" xfId="0" applyNumberFormat="1" applyFont="1" applyFill="1" applyBorder="1"/>
    <xf numFmtId="0" fontId="12" fillId="3" borderId="10" xfId="0" applyNumberFormat="1" applyFont="1" applyFill="1" applyBorder="1"/>
    <xf numFmtId="0" fontId="12" fillId="3" borderId="20" xfId="0" applyNumberFormat="1" applyFont="1" applyFill="1" applyBorder="1"/>
    <xf numFmtId="166" fontId="12" fillId="6" borderId="21" xfId="0" applyNumberFormat="1" applyFont="1" applyFill="1" applyBorder="1" applyAlignment="1" applyProtection="1">
      <alignment horizontal="right" vertical="center"/>
      <protection locked="0"/>
    </xf>
    <xf numFmtId="164" fontId="12" fillId="10" borderId="22" xfId="0" applyNumberFormat="1" applyFont="1" applyFill="1" applyBorder="1"/>
    <xf numFmtId="164" fontId="12" fillId="10" borderId="21" xfId="0" applyNumberFormat="1" applyFont="1" applyFill="1" applyBorder="1"/>
    <xf numFmtId="166" fontId="12" fillId="10" borderId="10" xfId="0" applyNumberFormat="1" applyFont="1" applyFill="1" applyBorder="1"/>
    <xf numFmtId="166" fontId="12" fillId="10" borderId="20" xfId="0" applyNumberFormat="1" applyFont="1" applyFill="1" applyBorder="1"/>
    <xf numFmtId="0" fontId="12" fillId="3" borderId="21" xfId="0" applyNumberFormat="1" applyFont="1" applyFill="1" applyBorder="1"/>
    <xf numFmtId="0" fontId="12" fillId="3" borderId="22" xfId="0" applyNumberFormat="1" applyFont="1" applyFill="1" applyBorder="1"/>
    <xf numFmtId="166" fontId="12" fillId="10" borderId="21" xfId="0" applyNumberFormat="1" applyFont="1" applyFill="1" applyBorder="1"/>
    <xf numFmtId="9" fontId="12" fillId="10" borderId="22" xfId="0" applyNumberFormat="1" applyFont="1" applyFill="1" applyBorder="1"/>
    <xf numFmtId="2" fontId="12" fillId="10" borderId="10" xfId="0" applyNumberFormat="1" applyFont="1" applyFill="1" applyBorder="1"/>
    <xf numFmtId="2" fontId="12" fillId="10" borderId="20" xfId="0" applyNumberFormat="1" applyFont="1" applyFill="1" applyBorder="1"/>
    <xf numFmtId="0" fontId="12" fillId="10" borderId="23" xfId="0" applyNumberFormat="1" applyFont="1" applyFill="1" applyBorder="1"/>
    <xf numFmtId="173" fontId="12" fillId="10" borderId="23" xfId="0" applyNumberFormat="1" applyFont="1" applyFill="1" applyBorder="1"/>
    <xf numFmtId="10" fontId="12" fillId="10" borderId="24" xfId="0" applyNumberFormat="1" applyFont="1" applyFill="1" applyBorder="1"/>
    <xf numFmtId="0" fontId="12" fillId="3" borderId="23" xfId="0" applyNumberFormat="1" applyFont="1" applyFill="1" applyBorder="1"/>
    <xf numFmtId="164" fontId="12" fillId="10" borderId="24" xfId="0" applyNumberFormat="1" applyFont="1" applyFill="1" applyBorder="1"/>
    <xf numFmtId="0" fontId="12" fillId="3" borderId="24" xfId="0" applyNumberFormat="1" applyFont="1" applyFill="1" applyBorder="1"/>
    <xf numFmtId="2" fontId="12" fillId="10" borderId="23" xfId="0" applyNumberFormat="1" applyFont="1" applyFill="1" applyBorder="1"/>
    <xf numFmtId="0" fontId="12" fillId="10" borderId="23" xfId="0" applyNumberFormat="1" applyFont="1" applyFill="1" applyBorder="1" applyAlignment="1">
      <alignment wrapText="1"/>
    </xf>
    <xf numFmtId="166" fontId="12" fillId="3" borderId="22" xfId="0" applyNumberFormat="1" applyFont="1" applyFill="1" applyBorder="1"/>
    <xf numFmtId="174" fontId="9" fillId="4" borderId="0" xfId="0" applyNumberFormat="1" applyFont="1" applyFill="1" applyBorder="1" applyAlignment="1" applyProtection="1">
      <alignment vertical="center" wrapText="1"/>
    </xf>
    <xf numFmtId="174" fontId="9" fillId="4" borderId="0" xfId="0" applyNumberFormat="1" applyFont="1" applyFill="1" applyBorder="1" applyAlignment="1" applyProtection="1">
      <alignment wrapText="1"/>
    </xf>
    <xf numFmtId="174" fontId="9" fillId="4" borderId="9" xfId="0" applyNumberFormat="1" applyFont="1" applyFill="1" applyBorder="1" applyAlignment="1" applyProtection="1">
      <alignment vertical="center"/>
    </xf>
    <xf numFmtId="174" fontId="9" fillId="4" borderId="7" xfId="0" applyNumberFormat="1" applyFont="1" applyFill="1" applyBorder="1" applyAlignment="1" applyProtection="1">
      <alignment vertical="center"/>
    </xf>
    <xf numFmtId="174" fontId="9" fillId="4" borderId="12" xfId="0" applyNumberFormat="1" applyFont="1" applyFill="1" applyBorder="1" applyAlignment="1" applyProtection="1">
      <alignment vertical="center"/>
    </xf>
    <xf numFmtId="174" fontId="10" fillId="4" borderId="6" xfId="0" applyNumberFormat="1" applyFont="1" applyFill="1" applyBorder="1" applyAlignment="1" applyProtection="1">
      <alignment vertical="center"/>
    </xf>
    <xf numFmtId="174" fontId="9" fillId="4" borderId="3" xfId="0" applyNumberFormat="1" applyFont="1" applyFill="1" applyBorder="1" applyAlignment="1" applyProtection="1">
      <alignment vertical="center"/>
    </xf>
    <xf numFmtId="174" fontId="9" fillId="4" borderId="4" xfId="0" applyNumberFormat="1" applyFont="1" applyFill="1" applyBorder="1" applyAlignment="1" applyProtection="1">
      <alignment vertical="center"/>
    </xf>
    <xf numFmtId="0" fontId="25" fillId="4" borderId="0" xfId="0" applyNumberFormat="1" applyFont="1" applyFill="1" applyBorder="1" applyAlignment="1" applyProtection="1"/>
    <xf numFmtId="0" fontId="10" fillId="4" borderId="3" xfId="0" applyFont="1" applyFill="1" applyBorder="1" applyAlignment="1" applyProtection="1">
      <alignment horizontal="right" vertical="center"/>
    </xf>
    <xf numFmtId="0" fontId="10" fillId="5" borderId="4" xfId="0" applyFont="1" applyFill="1" applyBorder="1" applyAlignment="1" applyProtection="1">
      <alignment horizontal="left" vertical="center" wrapText="1"/>
    </xf>
    <xf numFmtId="0" fontId="9" fillId="4" borderId="0" xfId="0" applyFont="1" applyFill="1" applyBorder="1" applyAlignment="1" applyProtection="1">
      <alignment horizontal="right" indent="1"/>
    </xf>
    <xf numFmtId="164" fontId="18" fillId="4" borderId="10" xfId="0" applyNumberFormat="1" applyFont="1" applyFill="1" applyBorder="1" applyAlignment="1" applyProtection="1">
      <alignment vertical="center"/>
      <protection locked="0"/>
    </xf>
    <xf numFmtId="164" fontId="18" fillId="4" borderId="0" xfId="0" applyNumberFormat="1" applyFont="1" applyFill="1" applyBorder="1" applyAlignment="1" applyProtection="1">
      <alignment vertical="center"/>
      <protection locked="0"/>
    </xf>
    <xf numFmtId="164" fontId="18" fillId="4" borderId="7" xfId="0" applyNumberFormat="1" applyFont="1" applyFill="1" applyBorder="1" applyAlignment="1" applyProtection="1">
      <alignment vertical="center"/>
      <protection locked="0"/>
    </xf>
    <xf numFmtId="166" fontId="9" fillId="4" borderId="13" xfId="0" applyNumberFormat="1" applyFont="1" applyFill="1" applyBorder="1" applyAlignment="1" applyProtection="1">
      <alignment horizontal="right" vertical="center"/>
    </xf>
    <xf numFmtId="166" fontId="9" fillId="4" borderId="6" xfId="0" applyNumberFormat="1" applyFont="1" applyFill="1" applyBorder="1" applyAlignment="1" applyProtection="1">
      <alignment horizontal="right" vertical="center"/>
    </xf>
    <xf numFmtId="166" fontId="9" fillId="4" borderId="11" xfId="0" applyNumberFormat="1" applyFont="1" applyFill="1" applyBorder="1" applyAlignment="1" applyProtection="1">
      <alignment horizontal="right" vertical="center"/>
    </xf>
    <xf numFmtId="0" fontId="10" fillId="4" borderId="1" xfId="0" applyFont="1" applyFill="1" applyBorder="1" applyAlignment="1" applyProtection="1">
      <alignment horizontal="center" vertical="center" wrapText="1"/>
    </xf>
    <xf numFmtId="0" fontId="10" fillId="4" borderId="3" xfId="0" applyFont="1" applyFill="1" applyBorder="1" applyAlignment="1" applyProtection="1">
      <alignment horizontal="center" vertical="center" wrapText="1"/>
    </xf>
    <xf numFmtId="0" fontId="10" fillId="4" borderId="4" xfId="0" applyFont="1" applyFill="1" applyBorder="1" applyAlignment="1" applyProtection="1">
      <alignment horizontal="center" vertical="center" wrapText="1"/>
    </xf>
    <xf numFmtId="0" fontId="9" fillId="4" borderId="15" xfId="0" applyFont="1" applyFill="1" applyBorder="1" applyAlignment="1" applyProtection="1">
      <alignment horizontal="left" vertical="center" wrapText="1"/>
    </xf>
    <xf numFmtId="0" fontId="9" fillId="4" borderId="10" xfId="0" applyFont="1" applyFill="1" applyBorder="1" applyAlignment="1" applyProtection="1">
      <alignment horizontal="left" vertical="center" wrapText="1"/>
    </xf>
    <xf numFmtId="0" fontId="9" fillId="4" borderId="14" xfId="0" applyFont="1" applyFill="1" applyBorder="1" applyAlignment="1" applyProtection="1">
      <alignment horizontal="left" vertical="center" wrapText="1"/>
    </xf>
    <xf numFmtId="165" fontId="10" fillId="0" borderId="10" xfId="0" applyNumberFormat="1" applyFont="1" applyFill="1" applyBorder="1" applyAlignment="1" applyProtection="1">
      <alignment horizontal="left" vertical="center" indent="1"/>
      <protection locked="0"/>
    </xf>
    <xf numFmtId="0" fontId="10" fillId="0" borderId="10" xfId="0" applyFont="1" applyFill="1" applyBorder="1" applyAlignment="1" applyProtection="1">
      <alignment horizontal="left" vertical="center" indent="1"/>
      <protection locked="0"/>
    </xf>
    <xf numFmtId="0" fontId="10" fillId="0" borderId="14" xfId="0" applyFont="1" applyFill="1" applyBorder="1" applyAlignment="1" applyProtection="1">
      <alignment horizontal="left" vertical="center" indent="1"/>
      <protection locked="0"/>
    </xf>
    <xf numFmtId="0" fontId="21" fillId="4" borderId="0" xfId="0" applyFont="1" applyFill="1" applyBorder="1" applyAlignment="1" applyProtection="1"/>
    <xf numFmtId="0" fontId="10" fillId="5" borderId="15" xfId="0" applyFont="1" applyFill="1" applyBorder="1" applyAlignment="1" applyProtection="1">
      <alignment horizontal="right" wrapText="1"/>
    </xf>
    <xf numFmtId="0" fontId="10" fillId="5" borderId="14" xfId="0" applyFont="1" applyFill="1" applyBorder="1" applyAlignment="1" applyProtection="1">
      <alignment horizontal="right" wrapText="1"/>
    </xf>
    <xf numFmtId="0" fontId="10" fillId="5" borderId="1" xfId="0" applyFont="1" applyFill="1" applyBorder="1" applyAlignment="1" applyProtection="1">
      <alignment horizontal="left" vertical="center" indent="1"/>
    </xf>
    <xf numFmtId="0" fontId="10" fillId="5" borderId="4" xfId="0" applyFont="1" applyFill="1" applyBorder="1" applyAlignment="1" applyProtection="1">
      <alignment horizontal="left" vertical="center" indent="1"/>
    </xf>
    <xf numFmtId="0" fontId="10" fillId="5" borderId="1" xfId="0" applyNumberFormat="1" applyFont="1" applyFill="1" applyBorder="1" applyAlignment="1" applyProtection="1">
      <alignment horizontal="left" vertical="center" indent="1"/>
    </xf>
    <xf numFmtId="0" fontId="10" fillId="5" borderId="4" xfId="0" applyNumberFormat="1" applyFont="1" applyFill="1" applyBorder="1" applyAlignment="1" applyProtection="1">
      <alignment horizontal="left" vertical="center" indent="1"/>
    </xf>
    <xf numFmtId="0" fontId="9" fillId="0" borderId="1" xfId="0" applyFont="1" applyFill="1" applyBorder="1" applyAlignment="1" applyProtection="1">
      <alignment horizontal="left" vertical="center" indent="1"/>
      <protection locked="0"/>
    </xf>
    <xf numFmtId="0" fontId="9" fillId="0" borderId="4" xfId="0" applyFont="1" applyFill="1" applyBorder="1" applyAlignment="1" applyProtection="1">
      <alignment horizontal="left" vertical="center" indent="1"/>
      <protection locked="0"/>
    </xf>
    <xf numFmtId="165" fontId="10" fillId="3" borderId="3" xfId="0" applyNumberFormat="1" applyFont="1" applyFill="1" applyBorder="1" applyAlignment="1" applyProtection="1">
      <alignment horizontal="left" vertical="center" indent="1"/>
    </xf>
    <xf numFmtId="165" fontId="10" fillId="3" borderId="4" xfId="0" applyNumberFormat="1" applyFont="1" applyFill="1" applyBorder="1" applyAlignment="1" applyProtection="1">
      <alignment horizontal="left" vertical="center" indent="1"/>
    </xf>
    <xf numFmtId="0" fontId="20" fillId="4" borderId="1" xfId="0" applyFont="1" applyFill="1" applyBorder="1" applyAlignment="1" applyProtection="1">
      <alignment horizontal="center" vertical="center"/>
    </xf>
    <xf numFmtId="0" fontId="20" fillId="4" borderId="3" xfId="0" applyFont="1" applyFill="1" applyBorder="1" applyAlignment="1" applyProtection="1">
      <alignment horizontal="center" vertical="center"/>
    </xf>
    <xf numFmtId="0" fontId="10" fillId="5" borderId="1" xfId="0" applyFont="1" applyFill="1" applyBorder="1" applyAlignment="1" applyProtection="1">
      <alignment horizontal="right" wrapText="1"/>
    </xf>
    <xf numFmtId="0" fontId="10" fillId="5" borderId="4" xfId="0" applyFont="1" applyFill="1" applyBorder="1" applyAlignment="1" applyProtection="1">
      <alignment horizontal="right" wrapText="1"/>
    </xf>
    <xf numFmtId="0" fontId="10" fillId="5" borderId="3" xfId="0" applyNumberFormat="1" applyFont="1" applyFill="1" applyBorder="1" applyAlignment="1" applyProtection="1">
      <alignment horizontal="left" vertical="center" indent="1"/>
    </xf>
    <xf numFmtId="0" fontId="10" fillId="5" borderId="3" xfId="0" applyFont="1" applyFill="1" applyBorder="1" applyAlignment="1" applyProtection="1">
      <alignment horizontal="left" vertical="center" indent="1"/>
    </xf>
    <xf numFmtId="0" fontId="9" fillId="5" borderId="1" xfId="0" applyFont="1" applyFill="1" applyBorder="1" applyAlignment="1" applyProtection="1">
      <alignment horizontal="right" vertical="center" indent="1"/>
    </xf>
    <xf numFmtId="0" fontId="9" fillId="5" borderId="3" xfId="0" applyFont="1" applyFill="1" applyBorder="1" applyAlignment="1" applyProtection="1">
      <alignment horizontal="right" vertical="center" indent="1"/>
    </xf>
    <xf numFmtId="0" fontId="9" fillId="5" borderId="4" xfId="0" applyFont="1" applyFill="1" applyBorder="1" applyAlignment="1" applyProtection="1">
      <alignment horizontal="right" vertical="center" indent="1"/>
    </xf>
    <xf numFmtId="0" fontId="9" fillId="5" borderId="13" xfId="0" applyFont="1" applyFill="1" applyBorder="1" applyAlignment="1" applyProtection="1">
      <alignment horizontal="left" vertical="center" wrapText="1" indent="1"/>
    </xf>
    <xf numFmtId="0" fontId="9" fillId="5" borderId="6" xfId="0" applyFont="1" applyFill="1" applyBorder="1" applyAlignment="1" applyProtection="1">
      <alignment horizontal="left" vertical="center" indent="1"/>
    </xf>
    <xf numFmtId="0" fontId="9" fillId="5" borderId="11" xfId="0" applyFont="1" applyFill="1" applyBorder="1" applyAlignment="1" applyProtection="1">
      <alignment horizontal="left" vertical="center" indent="1"/>
    </xf>
    <xf numFmtId="0" fontId="9" fillId="0" borderId="3" xfId="0" applyFont="1" applyFill="1" applyBorder="1" applyAlignment="1" applyProtection="1">
      <alignment horizontal="left" vertical="center" indent="1"/>
      <protection locked="0"/>
    </xf>
    <xf numFmtId="0" fontId="9" fillId="4" borderId="0" xfId="0" applyFont="1" applyFill="1" applyBorder="1" applyAlignment="1" applyProtection="1">
      <alignment horizontal="center"/>
    </xf>
    <xf numFmtId="0" fontId="9" fillId="3" borderId="1" xfId="0" applyNumberFormat="1" applyFont="1" applyFill="1" applyBorder="1" applyAlignment="1" applyProtection="1">
      <alignment horizontal="left" vertical="center" indent="1"/>
    </xf>
    <xf numFmtId="0" fontId="9" fillId="3" borderId="3" xfId="0" applyNumberFormat="1" applyFont="1" applyFill="1" applyBorder="1" applyAlignment="1" applyProtection="1">
      <alignment horizontal="left" vertical="center" indent="1"/>
    </xf>
    <xf numFmtId="0" fontId="9" fillId="3" borderId="4" xfId="0" applyNumberFormat="1" applyFont="1" applyFill="1" applyBorder="1" applyAlignment="1" applyProtection="1">
      <alignment horizontal="left" vertical="center" indent="1"/>
    </xf>
    <xf numFmtId="0" fontId="10" fillId="5" borderId="3" xfId="0" applyFont="1" applyFill="1" applyBorder="1" applyAlignment="1" applyProtection="1">
      <alignment horizontal="left" vertical="center" wrapText="1"/>
    </xf>
    <xf numFmtId="0" fontId="10" fillId="5" borderId="4" xfId="0" applyFont="1" applyFill="1" applyBorder="1" applyAlignment="1" applyProtection="1">
      <alignment horizontal="left" vertical="center" wrapText="1"/>
    </xf>
    <xf numFmtId="0" fontId="10" fillId="5" borderId="1" xfId="0" applyFont="1" applyFill="1" applyBorder="1" applyAlignment="1" applyProtection="1">
      <alignment horizontal="center" vertical="center" wrapText="1"/>
    </xf>
    <xf numFmtId="0" fontId="10" fillId="5" borderId="4" xfId="0" applyFont="1" applyFill="1" applyBorder="1" applyAlignment="1" applyProtection="1">
      <alignment horizontal="center" vertical="center" wrapText="1"/>
    </xf>
    <xf numFmtId="0" fontId="10" fillId="4" borderId="0" xfId="0" applyFont="1" applyFill="1" applyBorder="1" applyAlignment="1" applyProtection="1">
      <alignment horizontal="center" vertical="top"/>
    </xf>
    <xf numFmtId="0" fontId="9" fillId="0" borderId="0" xfId="0" applyNumberFormat="1" applyFont="1" applyFill="1" applyBorder="1" applyAlignment="1" applyProtection="1">
      <alignment vertical="top" wrapText="1"/>
      <protection locked="0"/>
    </xf>
    <xf numFmtId="0" fontId="9" fillId="0" borderId="0" xfId="0" applyNumberFormat="1" applyFont="1" applyFill="1" applyBorder="1" applyAlignment="1" applyProtection="1">
      <alignment wrapText="1"/>
      <protection locked="0"/>
    </xf>
    <xf numFmtId="0" fontId="9" fillId="0" borderId="7" xfId="0" applyNumberFormat="1" applyFont="1" applyFill="1" applyBorder="1" applyAlignment="1" applyProtection="1">
      <alignment wrapText="1"/>
      <protection locked="0"/>
    </xf>
    <xf numFmtId="0" fontId="9" fillId="4" borderId="0" xfId="0" applyNumberFormat="1" applyFont="1" applyFill="1" applyBorder="1" applyAlignment="1" applyProtection="1">
      <alignment horizontal="left" vertical="center" wrapText="1" indent="1"/>
    </xf>
    <xf numFmtId="0" fontId="9" fillId="0" borderId="7" xfId="0" applyNumberFormat="1" applyFont="1" applyFill="1" applyBorder="1" applyAlignment="1" applyProtection="1">
      <alignment vertical="center"/>
      <protection locked="0"/>
    </xf>
    <xf numFmtId="164" fontId="9" fillId="4" borderId="0" xfId="0" applyNumberFormat="1" applyFont="1" applyFill="1" applyBorder="1" applyAlignment="1" applyProtection="1">
      <alignment horizontal="right" indent="1"/>
    </xf>
    <xf numFmtId="0" fontId="10" fillId="4" borderId="10" xfId="0" applyFont="1" applyFill="1" applyBorder="1" applyAlignment="1" applyProtection="1">
      <alignment horizontal="left" vertical="center" indent="1"/>
    </xf>
    <xf numFmtId="0" fontId="10" fillId="4" borderId="3" xfId="0" applyFont="1" applyFill="1" applyBorder="1" applyAlignment="1" applyProtection="1">
      <alignment horizontal="right" vertical="center"/>
    </xf>
    <xf numFmtId="0" fontId="10" fillId="3" borderId="1" xfId="0" applyNumberFormat="1" applyFont="1" applyFill="1" applyBorder="1" applyAlignment="1" applyProtection="1">
      <alignment horizontal="left" vertical="center" indent="1"/>
    </xf>
    <xf numFmtId="0" fontId="10" fillId="3" borderId="3" xfId="0" applyNumberFormat="1" applyFont="1" applyFill="1" applyBorder="1" applyAlignment="1" applyProtection="1">
      <alignment horizontal="left" vertical="center" indent="1"/>
    </xf>
    <xf numFmtId="0" fontId="10" fillId="3" borderId="4" xfId="0" applyNumberFormat="1" applyFont="1" applyFill="1" applyBorder="1" applyAlignment="1" applyProtection="1">
      <alignment horizontal="left" vertical="center" indent="1"/>
    </xf>
    <xf numFmtId="0" fontId="9" fillId="4" borderId="0" xfId="0" applyFont="1" applyFill="1" applyBorder="1" applyAlignment="1" applyProtection="1">
      <alignment horizontal="right" indent="1"/>
    </xf>
    <xf numFmtId="0" fontId="9" fillId="0" borderId="7" xfId="0" applyFont="1" applyFill="1" applyBorder="1" applyAlignment="1" applyProtection="1">
      <alignment wrapText="1"/>
      <protection locked="0"/>
    </xf>
    <xf numFmtId="0" fontId="9" fillId="8" borderId="1" xfId="0" applyFont="1" applyFill="1" applyBorder="1" applyAlignment="1" applyProtection="1">
      <alignment horizontal="center" vertical="center"/>
    </xf>
    <xf numFmtId="0" fontId="9" fillId="8" borderId="3" xfId="0" applyFont="1" applyFill="1" applyBorder="1" applyAlignment="1" applyProtection="1">
      <alignment horizontal="center" vertical="center"/>
    </xf>
    <xf numFmtId="0" fontId="9" fillId="8" borderId="4" xfId="0" applyFont="1" applyFill="1" applyBorder="1" applyAlignment="1" applyProtection="1">
      <alignment horizontal="center" vertical="center"/>
    </xf>
    <xf numFmtId="0" fontId="20" fillId="4" borderId="3" xfId="0" applyNumberFormat="1" applyFont="1" applyFill="1" applyBorder="1" applyAlignment="1" applyProtection="1">
      <alignment horizontal="center" vertical="center"/>
    </xf>
    <xf numFmtId="167" fontId="9" fillId="3" borderId="3" xfId="0" applyNumberFormat="1" applyFont="1" applyFill="1" applyBorder="1" applyAlignment="1" applyProtection="1">
      <alignment horizontal="left" vertical="center" indent="1"/>
    </xf>
    <xf numFmtId="167" fontId="9" fillId="3" borderId="4" xfId="0" applyNumberFormat="1" applyFont="1" applyFill="1" applyBorder="1" applyAlignment="1" applyProtection="1">
      <alignment horizontal="left" vertical="center" indent="1"/>
    </xf>
    <xf numFmtId="0" fontId="9" fillId="3" borderId="2" xfId="0" applyNumberFormat="1" applyFont="1" applyFill="1" applyBorder="1" applyAlignment="1" applyProtection="1">
      <alignment horizontal="left" vertical="center" indent="1"/>
    </xf>
    <xf numFmtId="2" fontId="9" fillId="3" borderId="1" xfId="0" applyNumberFormat="1" applyFont="1" applyFill="1" applyBorder="1" applyAlignment="1" applyProtection="1">
      <alignment horizontal="left" vertical="center" indent="1"/>
    </xf>
    <xf numFmtId="2" fontId="9" fillId="3" borderId="4" xfId="0" applyNumberFormat="1" applyFont="1" applyFill="1" applyBorder="1" applyAlignment="1" applyProtection="1">
      <alignment horizontal="left" vertical="center" indent="1"/>
    </xf>
    <xf numFmtId="0" fontId="9" fillId="3" borderId="1" xfId="0" applyFont="1" applyFill="1" applyBorder="1" applyAlignment="1" applyProtection="1">
      <alignment horizontal="left" vertical="center" indent="1"/>
    </xf>
    <xf numFmtId="0" fontId="9" fillId="3" borderId="3" xfId="0" applyFont="1" applyFill="1" applyBorder="1" applyAlignment="1" applyProtection="1">
      <alignment horizontal="left" vertical="center" indent="1"/>
    </xf>
    <xf numFmtId="0" fontId="9" fillId="3" borderId="4" xfId="0" applyFont="1" applyFill="1" applyBorder="1" applyAlignment="1" applyProtection="1">
      <alignment horizontal="left" vertical="center" indent="1"/>
    </xf>
    <xf numFmtId="0" fontId="2" fillId="0" borderId="7" xfId="0" applyFont="1" applyFill="1" applyBorder="1" applyAlignment="1" applyProtection="1">
      <alignment wrapText="1"/>
      <protection locked="0"/>
    </xf>
    <xf numFmtId="0" fontId="3" fillId="5" borderId="1" xfId="0" applyFont="1" applyFill="1" applyBorder="1" applyAlignment="1" applyProtection="1">
      <alignment horizontal="left" vertical="center" indent="1"/>
    </xf>
    <xf numFmtId="0" fontId="3" fillId="5" borderId="3" xfId="0" applyFont="1" applyFill="1" applyBorder="1" applyAlignment="1" applyProtection="1">
      <alignment horizontal="left" vertical="center" indent="1"/>
    </xf>
    <xf numFmtId="0" fontId="3" fillId="5" borderId="4" xfId="0" applyFont="1" applyFill="1" applyBorder="1" applyAlignment="1" applyProtection="1">
      <alignment horizontal="left" vertical="center" indent="1"/>
    </xf>
    <xf numFmtId="0" fontId="7" fillId="5" borderId="1" xfId="0" applyFont="1" applyFill="1" applyBorder="1" applyAlignment="1" applyProtection="1">
      <alignment horizontal="left" vertical="center" indent="1"/>
    </xf>
    <xf numFmtId="0" fontId="7" fillId="5" borderId="3" xfId="0" applyFont="1" applyFill="1" applyBorder="1" applyAlignment="1" applyProtection="1">
      <alignment horizontal="left" vertical="center" indent="1"/>
    </xf>
    <xf numFmtId="0" fontId="7" fillId="5" borderId="4" xfId="0" applyFont="1" applyFill="1" applyBorder="1" applyAlignment="1" applyProtection="1">
      <alignment horizontal="left" vertical="center" indent="1"/>
    </xf>
    <xf numFmtId="0" fontId="6" fillId="0" borderId="7" xfId="0" applyFont="1" applyFill="1" applyBorder="1" applyAlignment="1" applyProtection="1">
      <alignment wrapText="1"/>
      <protection locked="0"/>
    </xf>
    <xf numFmtId="0" fontId="7" fillId="3" borderId="1" xfId="0" applyNumberFormat="1" applyFont="1" applyFill="1" applyBorder="1" applyAlignment="1" applyProtection="1">
      <alignment horizontal="left" vertical="center" indent="1"/>
    </xf>
    <xf numFmtId="0" fontId="7" fillId="3" borderId="3" xfId="0" applyNumberFormat="1" applyFont="1" applyFill="1" applyBorder="1" applyAlignment="1" applyProtection="1">
      <alignment horizontal="left" vertical="center" indent="1"/>
    </xf>
    <xf numFmtId="0" fontId="7" fillId="3" borderId="4" xfId="0" applyNumberFormat="1" applyFont="1" applyFill="1" applyBorder="1" applyAlignment="1" applyProtection="1">
      <alignment horizontal="left" vertical="center" indent="1"/>
    </xf>
    <xf numFmtId="0" fontId="6" fillId="3" borderId="1" xfId="0" applyNumberFormat="1" applyFont="1" applyFill="1" applyBorder="1" applyAlignment="1" applyProtection="1">
      <alignment horizontal="left" vertical="center" indent="1"/>
    </xf>
    <xf numFmtId="0" fontId="6" fillId="3" borderId="3" xfId="0" applyNumberFormat="1" applyFont="1" applyFill="1" applyBorder="1" applyAlignment="1" applyProtection="1">
      <alignment horizontal="left" vertical="center" indent="1"/>
    </xf>
    <xf numFmtId="0" fontId="6" fillId="3" borderId="4" xfId="0" applyNumberFormat="1" applyFont="1" applyFill="1" applyBorder="1" applyAlignment="1" applyProtection="1">
      <alignment horizontal="left" vertical="center" indent="1"/>
    </xf>
    <xf numFmtId="0" fontId="6" fillId="3" borderId="1" xfId="0" applyFont="1" applyFill="1" applyBorder="1" applyAlignment="1" applyProtection="1">
      <alignment horizontal="left" vertical="center" indent="1"/>
    </xf>
    <xf numFmtId="0" fontId="6" fillId="3" borderId="3" xfId="0" applyFont="1" applyFill="1" applyBorder="1" applyAlignment="1" applyProtection="1">
      <alignment horizontal="left" vertical="center" indent="1"/>
    </xf>
    <xf numFmtId="0" fontId="6" fillId="3" borderId="4" xfId="0" applyFont="1" applyFill="1" applyBorder="1" applyAlignment="1" applyProtection="1">
      <alignment horizontal="left" vertical="center" indent="1"/>
    </xf>
    <xf numFmtId="0" fontId="2" fillId="3" borderId="1" xfId="0" applyNumberFormat="1" applyFont="1" applyFill="1" applyBorder="1" applyAlignment="1" applyProtection="1">
      <alignment horizontal="left" vertical="center" indent="1"/>
    </xf>
    <xf numFmtId="0" fontId="2" fillId="3" borderId="3" xfId="0" applyNumberFormat="1" applyFont="1" applyFill="1" applyBorder="1" applyAlignment="1" applyProtection="1">
      <alignment horizontal="left" vertical="center" indent="1"/>
    </xf>
    <xf numFmtId="0" fontId="2" fillId="3" borderId="4" xfId="0" applyNumberFormat="1" applyFont="1" applyFill="1" applyBorder="1" applyAlignment="1" applyProtection="1">
      <alignment horizontal="left" vertical="center" indent="1"/>
    </xf>
    <xf numFmtId="0" fontId="13" fillId="0" borderId="0" xfId="0" applyFont="1" applyAlignment="1">
      <alignment vertical="center"/>
    </xf>
  </cellXfs>
  <cellStyles count="19">
    <cellStyle name="Banktabelle" xfId="13" xr:uid="{00000000-0005-0000-0000-000000000000}"/>
    <cellStyle name="Besuchter Hyperlink" xfId="2" builtinId="9" hidden="1"/>
    <cellStyle name="Besuchter Hyperlink" xfId="3" builtinId="9" hidden="1"/>
    <cellStyle name="Besuchter Hyperlink" xfId="4" builtinId="9" hidden="1"/>
    <cellStyle name="Besuchter Hyperlink" xfId="5" builtinId="9" hidden="1"/>
    <cellStyle name="Besuchter Hyperlink" xfId="6" builtinId="9" hidden="1"/>
    <cellStyle name="Besuchter Hyperlink" xfId="7" builtinId="9" hidden="1"/>
    <cellStyle name="Besuchter Hyperlink" xfId="8" builtinId="9" hidden="1"/>
    <cellStyle name="Besuchter Hyperlink" xfId="9" builtinId="9" hidden="1"/>
    <cellStyle name="Besuchter Hyperlink" xfId="10" builtinId="9" hidden="1"/>
    <cellStyle name="Besuchter Hyperlink" xfId="11" builtinId="9" hidden="1"/>
    <cellStyle name="Hyperlink 2" xfId="17" xr:uid="{00000000-0005-0000-0000-00000C000000}"/>
    <cellStyle name="Link" xfId="1" builtinId="8"/>
    <cellStyle name="Prozent 2" xfId="16" xr:uid="{00000000-0005-0000-0000-00000D000000}"/>
    <cellStyle name="Standard" xfId="0" builtinId="0"/>
    <cellStyle name="Standard 2" xfId="14" xr:uid="{00000000-0005-0000-0000-00000F000000}"/>
    <cellStyle name="Standard 2 2" xfId="18" xr:uid="{00000000-0005-0000-0000-000010000000}"/>
    <cellStyle name="Standard 3" xfId="15" xr:uid="{00000000-0005-0000-0000-000011000000}"/>
    <cellStyle name="Standard 4" xfId="12" xr:uid="{00000000-0005-0000-0000-000012000000}"/>
  </cellStyles>
  <dxfs count="309">
    <dxf>
      <border>
        <left style="thin">
          <color auto="1"/>
        </left>
        <vertical/>
        <horizontal/>
      </border>
    </dxf>
    <dxf>
      <border>
        <right style="thin">
          <color auto="1"/>
        </right>
        <vertical/>
        <horizontal/>
      </border>
    </dxf>
    <dxf>
      <numFmt numFmtId="174" formatCode=";;;"/>
      <fill>
        <patternFill>
          <bgColor rgb="FFF2F2F2"/>
        </patternFill>
      </fill>
      <border>
        <left/>
        <right/>
        <top/>
        <bottom/>
        <vertical/>
        <horizontal/>
      </border>
    </dxf>
    <dxf>
      <numFmt numFmtId="174" formatCode=";;;"/>
      <fill>
        <patternFill>
          <bgColor rgb="FFF2F2F2"/>
        </patternFill>
      </fill>
      <border>
        <left/>
        <right/>
        <top/>
        <bottom/>
        <vertical/>
        <horizontal/>
      </border>
    </dxf>
    <dxf>
      <fill>
        <patternFill>
          <bgColor rgb="FFFF555A"/>
        </patternFill>
      </fill>
    </dxf>
    <dxf>
      <fill>
        <patternFill>
          <bgColor rgb="FFFF555A"/>
        </patternFill>
      </fill>
    </dxf>
    <dxf>
      <fill>
        <patternFill>
          <bgColor rgb="FFFF555A"/>
        </patternFill>
      </fill>
    </dxf>
    <dxf>
      <border>
        <left style="thin">
          <color auto="1"/>
        </left>
        <vertical/>
        <horizontal/>
      </border>
    </dxf>
    <dxf>
      <border>
        <right style="thin">
          <color auto="1"/>
        </right>
        <vertical/>
        <horizontal/>
      </border>
    </dxf>
    <dxf>
      <fill>
        <patternFill>
          <bgColor rgb="FFF2F2F2"/>
        </patternFill>
      </fill>
      <border>
        <left/>
        <right/>
        <top/>
        <bottom/>
      </border>
    </dxf>
    <dxf>
      <numFmt numFmtId="174" formatCode=";;;"/>
      <fill>
        <patternFill patternType="solid">
          <bgColor rgb="FFF2F2F2"/>
        </patternFill>
      </fill>
      <border>
        <left/>
        <right/>
        <vertical/>
        <horizontal/>
      </border>
    </dxf>
    <dxf>
      <fill>
        <patternFill patternType="solid">
          <bgColor rgb="FFF2F2F2"/>
        </patternFill>
      </fill>
      <border>
        <left/>
        <right/>
        <top style="thin">
          <color auto="1"/>
        </top>
        <bottom/>
        <vertical/>
        <horizontal/>
      </border>
    </dxf>
    <dxf>
      <fill>
        <patternFill>
          <bgColor rgb="FFFF555A"/>
        </patternFill>
      </fill>
    </dxf>
    <dxf>
      <font>
        <b val="0"/>
        <i/>
        <u/>
        <color rgb="FFFF555A"/>
      </font>
    </dxf>
    <dxf>
      <font>
        <b val="0"/>
        <i/>
        <u/>
        <color rgb="FFFF555A"/>
      </font>
    </dxf>
    <dxf>
      <fill>
        <patternFill>
          <bgColor rgb="FFFFBBB9"/>
        </patternFill>
      </fill>
    </dxf>
    <dxf>
      <fill>
        <patternFill>
          <bgColor rgb="FFFF555A"/>
        </patternFill>
      </fill>
    </dxf>
    <dxf>
      <fill>
        <patternFill>
          <bgColor rgb="FFFF555A"/>
        </patternFill>
      </fill>
    </dxf>
    <dxf>
      <fill>
        <patternFill>
          <bgColor rgb="FFFFAA60"/>
        </patternFill>
      </fill>
    </dxf>
    <dxf>
      <fill>
        <patternFill>
          <bgColor rgb="FFFF555A"/>
        </patternFill>
      </fill>
    </dxf>
    <dxf>
      <fill>
        <patternFill>
          <bgColor rgb="FFE1E1E1"/>
        </patternFill>
      </fill>
      <border>
        <left style="thin">
          <color auto="1"/>
        </left>
        <right style="thin">
          <color auto="1"/>
        </right>
        <top style="thin">
          <color auto="1"/>
        </top>
        <bottom style="thin">
          <color auto="1"/>
        </bottom>
        <vertical/>
        <horizontal/>
      </border>
    </dxf>
    <dxf>
      <fill>
        <patternFill>
          <bgColor rgb="FFC5D9F1"/>
        </patternFill>
      </fill>
      <border>
        <left style="thin">
          <color auto="1"/>
        </left>
        <right style="thin">
          <color auto="1"/>
        </right>
        <top style="thin">
          <color auto="1"/>
        </top>
        <bottom style="thin">
          <color auto="1"/>
        </bottom>
        <vertical/>
        <horizontal/>
      </border>
    </dxf>
    <dxf>
      <fill>
        <patternFill>
          <bgColor rgb="FFFF555A"/>
        </patternFill>
      </fill>
    </dxf>
    <dxf>
      <fill>
        <patternFill>
          <bgColor rgb="FFFF555A"/>
        </patternFill>
      </fill>
    </dxf>
    <dxf>
      <fill>
        <patternFill>
          <bgColor rgb="FFFFB9BB"/>
        </patternFill>
      </fill>
    </dxf>
    <dxf>
      <fill>
        <patternFill>
          <bgColor rgb="FFC8EAD3"/>
        </patternFill>
      </fill>
    </dxf>
    <dxf>
      <fill>
        <patternFill>
          <bgColor rgb="FFFFB9BB"/>
        </patternFill>
      </fill>
    </dxf>
    <dxf>
      <fill>
        <patternFill patternType="solid">
          <fgColor auto="1"/>
          <bgColor rgb="FFC8EAD3"/>
        </patternFill>
      </fill>
    </dxf>
    <dxf>
      <numFmt numFmtId="183" formatCode="[h];\-\ [h];&quot;-     &quot;"/>
      <fill>
        <patternFill>
          <bgColor rgb="FFFFB9BB"/>
        </patternFill>
      </fill>
    </dxf>
    <dxf>
      <numFmt numFmtId="183" formatCode="[h];\-\ [h];&quot;-     &quot;"/>
      <fill>
        <patternFill patternType="solid">
          <fgColor auto="1"/>
          <bgColor rgb="FFC8EAD3"/>
        </patternFill>
      </fill>
    </dxf>
    <dxf>
      <numFmt numFmtId="174" formatCode=";;;"/>
      <fill>
        <patternFill>
          <bgColor rgb="FFD9D9D9"/>
        </patternFill>
      </fill>
    </dxf>
    <dxf>
      <fill>
        <patternFill>
          <bgColor rgb="FFFFAA60"/>
        </patternFill>
      </fill>
    </dxf>
    <dxf>
      <fill>
        <patternFill>
          <bgColor rgb="FFFF555A"/>
        </patternFill>
      </fill>
    </dxf>
    <dxf>
      <fill>
        <patternFill>
          <bgColor rgb="FFD8E4BC"/>
        </patternFill>
      </fill>
    </dxf>
    <dxf>
      <fill>
        <gradientFill>
          <stop position="0">
            <color rgb="FFFFFFFF"/>
          </stop>
          <stop position="1">
            <color rgb="FFD8E4BC"/>
          </stop>
        </gradientFill>
      </fill>
    </dxf>
    <dxf>
      <fill>
        <patternFill patternType="solid">
          <bgColor rgb="FFEBF1DE"/>
        </patternFill>
      </fill>
    </dxf>
    <dxf>
      <fill>
        <patternFill>
          <bgColor rgb="FFFF555A"/>
        </patternFill>
      </fill>
    </dxf>
    <dxf>
      <font>
        <b val="0"/>
        <i/>
        <u/>
        <color rgb="FFFF555A"/>
      </font>
    </dxf>
    <dxf>
      <font>
        <b val="0"/>
        <i/>
        <u/>
        <color rgb="FFFF555A"/>
      </font>
    </dxf>
    <dxf>
      <fill>
        <patternFill>
          <bgColor rgb="FFFFBBB9"/>
        </patternFill>
      </fill>
    </dxf>
    <dxf>
      <fill>
        <patternFill>
          <bgColor rgb="FFFF555A"/>
        </patternFill>
      </fill>
    </dxf>
    <dxf>
      <fill>
        <patternFill>
          <bgColor rgb="FFFF555A"/>
        </patternFill>
      </fill>
    </dxf>
    <dxf>
      <fill>
        <patternFill>
          <bgColor rgb="FFFFAA60"/>
        </patternFill>
      </fill>
    </dxf>
    <dxf>
      <fill>
        <patternFill>
          <bgColor rgb="FFFF555A"/>
        </patternFill>
      </fill>
    </dxf>
    <dxf>
      <fill>
        <patternFill>
          <bgColor rgb="FFE1E1E1"/>
        </patternFill>
      </fill>
      <border>
        <left style="thin">
          <color auto="1"/>
        </left>
        <right style="thin">
          <color auto="1"/>
        </right>
        <top style="thin">
          <color auto="1"/>
        </top>
        <bottom style="thin">
          <color auto="1"/>
        </bottom>
        <vertical/>
        <horizontal/>
      </border>
    </dxf>
    <dxf>
      <fill>
        <patternFill>
          <bgColor rgb="FFC5D9F1"/>
        </patternFill>
      </fill>
      <border>
        <left style="thin">
          <color auto="1"/>
        </left>
        <right style="thin">
          <color auto="1"/>
        </right>
        <top style="thin">
          <color auto="1"/>
        </top>
        <bottom style="thin">
          <color auto="1"/>
        </bottom>
        <vertical/>
        <horizontal/>
      </border>
    </dxf>
    <dxf>
      <fill>
        <patternFill>
          <bgColor rgb="FFFF555A"/>
        </patternFill>
      </fill>
    </dxf>
    <dxf>
      <fill>
        <patternFill>
          <bgColor rgb="FFFF555A"/>
        </patternFill>
      </fill>
    </dxf>
    <dxf>
      <fill>
        <patternFill>
          <bgColor rgb="FFFFB9BB"/>
        </patternFill>
      </fill>
    </dxf>
    <dxf>
      <fill>
        <patternFill>
          <bgColor rgb="FFC8EAD3"/>
        </patternFill>
      </fill>
    </dxf>
    <dxf>
      <fill>
        <patternFill>
          <bgColor rgb="FFFFB9BB"/>
        </patternFill>
      </fill>
    </dxf>
    <dxf>
      <fill>
        <patternFill patternType="solid">
          <fgColor auto="1"/>
          <bgColor rgb="FFC8EAD3"/>
        </patternFill>
      </fill>
    </dxf>
    <dxf>
      <numFmt numFmtId="183" formatCode="[h];\-\ [h];&quot;-     &quot;"/>
      <fill>
        <patternFill>
          <bgColor rgb="FFFFB9BB"/>
        </patternFill>
      </fill>
    </dxf>
    <dxf>
      <numFmt numFmtId="183" formatCode="[h];\-\ [h];&quot;-     &quot;"/>
      <fill>
        <patternFill patternType="solid">
          <fgColor auto="1"/>
          <bgColor rgb="FFC8EAD3"/>
        </patternFill>
      </fill>
    </dxf>
    <dxf>
      <numFmt numFmtId="174" formatCode=";;;"/>
      <fill>
        <patternFill>
          <bgColor rgb="FFD9D9D9"/>
        </patternFill>
      </fill>
    </dxf>
    <dxf>
      <fill>
        <patternFill>
          <bgColor rgb="FFFFAA60"/>
        </patternFill>
      </fill>
    </dxf>
    <dxf>
      <fill>
        <patternFill>
          <bgColor rgb="FFFF555A"/>
        </patternFill>
      </fill>
    </dxf>
    <dxf>
      <fill>
        <patternFill>
          <bgColor rgb="FFD8E4BC"/>
        </patternFill>
      </fill>
    </dxf>
    <dxf>
      <fill>
        <gradientFill>
          <stop position="0">
            <color rgb="FFFFFFFF"/>
          </stop>
          <stop position="1">
            <color rgb="FFD8E4BC"/>
          </stop>
        </gradientFill>
      </fill>
    </dxf>
    <dxf>
      <fill>
        <patternFill patternType="solid">
          <bgColor rgb="FFEBF1DE"/>
        </patternFill>
      </fill>
    </dxf>
    <dxf>
      <fill>
        <patternFill>
          <bgColor rgb="FFFF555A"/>
        </patternFill>
      </fill>
    </dxf>
    <dxf>
      <font>
        <b val="0"/>
        <i/>
        <u/>
        <color rgb="FFFF555A"/>
      </font>
    </dxf>
    <dxf>
      <font>
        <b val="0"/>
        <i/>
        <u/>
        <color rgb="FFFF555A"/>
      </font>
    </dxf>
    <dxf>
      <fill>
        <patternFill>
          <bgColor rgb="FFFFBBB9"/>
        </patternFill>
      </fill>
    </dxf>
    <dxf>
      <fill>
        <patternFill>
          <bgColor rgb="FFFF555A"/>
        </patternFill>
      </fill>
    </dxf>
    <dxf>
      <fill>
        <patternFill>
          <bgColor rgb="FFFF555A"/>
        </patternFill>
      </fill>
    </dxf>
    <dxf>
      <fill>
        <patternFill>
          <bgColor rgb="FFFFAA60"/>
        </patternFill>
      </fill>
    </dxf>
    <dxf>
      <fill>
        <patternFill>
          <bgColor rgb="FFFF555A"/>
        </patternFill>
      </fill>
    </dxf>
    <dxf>
      <fill>
        <patternFill>
          <bgColor rgb="FFE1E1E1"/>
        </patternFill>
      </fill>
      <border>
        <left style="thin">
          <color auto="1"/>
        </left>
        <right style="thin">
          <color auto="1"/>
        </right>
        <top style="thin">
          <color auto="1"/>
        </top>
        <bottom style="thin">
          <color auto="1"/>
        </bottom>
        <vertical/>
        <horizontal/>
      </border>
    </dxf>
    <dxf>
      <fill>
        <patternFill>
          <bgColor rgb="FFC5D9F1"/>
        </patternFill>
      </fill>
      <border>
        <left style="thin">
          <color auto="1"/>
        </left>
        <right style="thin">
          <color auto="1"/>
        </right>
        <top style="thin">
          <color auto="1"/>
        </top>
        <bottom style="thin">
          <color auto="1"/>
        </bottom>
        <vertical/>
        <horizontal/>
      </border>
    </dxf>
    <dxf>
      <fill>
        <patternFill>
          <bgColor rgb="FFFF555A"/>
        </patternFill>
      </fill>
    </dxf>
    <dxf>
      <fill>
        <patternFill>
          <bgColor rgb="FFFF555A"/>
        </patternFill>
      </fill>
    </dxf>
    <dxf>
      <fill>
        <patternFill>
          <bgColor rgb="FFFFB9BB"/>
        </patternFill>
      </fill>
    </dxf>
    <dxf>
      <fill>
        <patternFill>
          <bgColor rgb="FFC8EAD3"/>
        </patternFill>
      </fill>
    </dxf>
    <dxf>
      <fill>
        <patternFill>
          <bgColor rgb="FFFFB9BB"/>
        </patternFill>
      </fill>
    </dxf>
    <dxf>
      <fill>
        <patternFill patternType="solid">
          <fgColor auto="1"/>
          <bgColor rgb="FFC8EAD3"/>
        </patternFill>
      </fill>
    </dxf>
    <dxf>
      <numFmt numFmtId="183" formatCode="[h];\-\ [h];&quot;-     &quot;"/>
      <fill>
        <patternFill>
          <bgColor rgb="FFFFB9BB"/>
        </patternFill>
      </fill>
    </dxf>
    <dxf>
      <numFmt numFmtId="183" formatCode="[h];\-\ [h];&quot;-     &quot;"/>
      <fill>
        <patternFill patternType="solid">
          <fgColor auto="1"/>
          <bgColor rgb="FFC8EAD3"/>
        </patternFill>
      </fill>
    </dxf>
    <dxf>
      <numFmt numFmtId="174" formatCode=";;;"/>
      <fill>
        <patternFill>
          <bgColor rgb="FFD9D9D9"/>
        </patternFill>
      </fill>
    </dxf>
    <dxf>
      <fill>
        <patternFill>
          <bgColor rgb="FFFFAA60"/>
        </patternFill>
      </fill>
    </dxf>
    <dxf>
      <fill>
        <patternFill>
          <bgColor rgb="FFFF555A"/>
        </patternFill>
      </fill>
    </dxf>
    <dxf>
      <fill>
        <patternFill>
          <bgColor rgb="FFD8E4BC"/>
        </patternFill>
      </fill>
    </dxf>
    <dxf>
      <fill>
        <gradientFill>
          <stop position="0">
            <color rgb="FFFFFFFF"/>
          </stop>
          <stop position="1">
            <color rgb="FFD8E4BC"/>
          </stop>
        </gradientFill>
      </fill>
    </dxf>
    <dxf>
      <fill>
        <patternFill patternType="solid">
          <bgColor rgb="FFEBF1DE"/>
        </patternFill>
      </fill>
    </dxf>
    <dxf>
      <fill>
        <patternFill>
          <bgColor rgb="FFFF555A"/>
        </patternFill>
      </fill>
    </dxf>
    <dxf>
      <font>
        <b val="0"/>
        <i/>
        <u/>
        <color rgb="FFFF555A"/>
      </font>
    </dxf>
    <dxf>
      <font>
        <b val="0"/>
        <i/>
        <u/>
        <color rgb="FFFF555A"/>
      </font>
    </dxf>
    <dxf>
      <fill>
        <patternFill>
          <bgColor rgb="FFFFBBB9"/>
        </patternFill>
      </fill>
    </dxf>
    <dxf>
      <fill>
        <patternFill>
          <bgColor rgb="FFFF555A"/>
        </patternFill>
      </fill>
    </dxf>
    <dxf>
      <fill>
        <patternFill>
          <bgColor rgb="FFFF555A"/>
        </patternFill>
      </fill>
    </dxf>
    <dxf>
      <fill>
        <patternFill>
          <bgColor rgb="FFFFAA60"/>
        </patternFill>
      </fill>
    </dxf>
    <dxf>
      <fill>
        <patternFill>
          <bgColor rgb="FFFF555A"/>
        </patternFill>
      </fill>
    </dxf>
    <dxf>
      <fill>
        <patternFill>
          <bgColor rgb="FFE1E1E1"/>
        </patternFill>
      </fill>
      <border>
        <left style="thin">
          <color auto="1"/>
        </left>
        <right style="thin">
          <color auto="1"/>
        </right>
        <top style="thin">
          <color auto="1"/>
        </top>
        <bottom style="thin">
          <color auto="1"/>
        </bottom>
        <vertical/>
        <horizontal/>
      </border>
    </dxf>
    <dxf>
      <fill>
        <patternFill>
          <bgColor rgb="FFC5D9F1"/>
        </patternFill>
      </fill>
      <border>
        <left style="thin">
          <color auto="1"/>
        </left>
        <right style="thin">
          <color auto="1"/>
        </right>
        <top style="thin">
          <color auto="1"/>
        </top>
        <bottom style="thin">
          <color auto="1"/>
        </bottom>
        <vertical/>
        <horizontal/>
      </border>
    </dxf>
    <dxf>
      <fill>
        <patternFill>
          <bgColor rgb="FFFF555A"/>
        </patternFill>
      </fill>
    </dxf>
    <dxf>
      <fill>
        <patternFill>
          <bgColor rgb="FFFF555A"/>
        </patternFill>
      </fill>
    </dxf>
    <dxf>
      <fill>
        <patternFill>
          <bgColor rgb="FFFFB9BB"/>
        </patternFill>
      </fill>
    </dxf>
    <dxf>
      <fill>
        <patternFill>
          <bgColor rgb="FFC8EAD3"/>
        </patternFill>
      </fill>
    </dxf>
    <dxf>
      <fill>
        <patternFill>
          <bgColor rgb="FFFFB9BB"/>
        </patternFill>
      </fill>
    </dxf>
    <dxf>
      <fill>
        <patternFill patternType="solid">
          <fgColor auto="1"/>
          <bgColor rgb="FFC8EAD3"/>
        </patternFill>
      </fill>
    </dxf>
    <dxf>
      <numFmt numFmtId="183" formatCode="[h];\-\ [h];&quot;-     &quot;"/>
      <fill>
        <patternFill>
          <bgColor rgb="FFFFB9BB"/>
        </patternFill>
      </fill>
    </dxf>
    <dxf>
      <numFmt numFmtId="183" formatCode="[h];\-\ [h];&quot;-     &quot;"/>
      <fill>
        <patternFill patternType="solid">
          <fgColor auto="1"/>
          <bgColor rgb="FFC8EAD3"/>
        </patternFill>
      </fill>
    </dxf>
    <dxf>
      <numFmt numFmtId="174" formatCode=";;;"/>
      <fill>
        <patternFill>
          <bgColor rgb="FFD9D9D9"/>
        </patternFill>
      </fill>
    </dxf>
    <dxf>
      <fill>
        <patternFill>
          <bgColor rgb="FFFFAA60"/>
        </patternFill>
      </fill>
    </dxf>
    <dxf>
      <fill>
        <patternFill>
          <bgColor rgb="FFFF555A"/>
        </patternFill>
      </fill>
    </dxf>
    <dxf>
      <fill>
        <patternFill>
          <bgColor rgb="FFD8E4BC"/>
        </patternFill>
      </fill>
    </dxf>
    <dxf>
      <fill>
        <gradientFill>
          <stop position="0">
            <color rgb="FFFFFFFF"/>
          </stop>
          <stop position="1">
            <color rgb="FFD8E4BC"/>
          </stop>
        </gradientFill>
      </fill>
    </dxf>
    <dxf>
      <fill>
        <patternFill patternType="solid">
          <bgColor rgb="FFEBF1DE"/>
        </patternFill>
      </fill>
    </dxf>
    <dxf>
      <fill>
        <patternFill>
          <bgColor rgb="FFFF555A"/>
        </patternFill>
      </fill>
    </dxf>
    <dxf>
      <font>
        <b val="0"/>
        <i/>
        <u/>
        <color rgb="FFFF555A"/>
      </font>
    </dxf>
    <dxf>
      <font>
        <b val="0"/>
        <i/>
        <u/>
        <color rgb="FFFF555A"/>
      </font>
    </dxf>
    <dxf>
      <fill>
        <patternFill>
          <bgColor rgb="FFFFBBB9"/>
        </patternFill>
      </fill>
    </dxf>
    <dxf>
      <fill>
        <patternFill>
          <bgColor rgb="FFFF555A"/>
        </patternFill>
      </fill>
    </dxf>
    <dxf>
      <fill>
        <patternFill>
          <bgColor rgb="FFFF555A"/>
        </patternFill>
      </fill>
    </dxf>
    <dxf>
      <fill>
        <patternFill>
          <bgColor rgb="FFFFAA60"/>
        </patternFill>
      </fill>
    </dxf>
    <dxf>
      <fill>
        <patternFill>
          <bgColor rgb="FFFF555A"/>
        </patternFill>
      </fill>
    </dxf>
    <dxf>
      <fill>
        <patternFill>
          <bgColor rgb="FFE1E1E1"/>
        </patternFill>
      </fill>
      <border>
        <left style="thin">
          <color auto="1"/>
        </left>
        <right style="thin">
          <color auto="1"/>
        </right>
        <top style="thin">
          <color auto="1"/>
        </top>
        <bottom style="thin">
          <color auto="1"/>
        </bottom>
        <vertical/>
        <horizontal/>
      </border>
    </dxf>
    <dxf>
      <fill>
        <patternFill>
          <bgColor rgb="FFC5D9F1"/>
        </patternFill>
      </fill>
      <border>
        <left style="thin">
          <color auto="1"/>
        </left>
        <right style="thin">
          <color auto="1"/>
        </right>
        <top style="thin">
          <color auto="1"/>
        </top>
        <bottom style="thin">
          <color auto="1"/>
        </bottom>
        <vertical/>
        <horizontal/>
      </border>
    </dxf>
    <dxf>
      <fill>
        <patternFill>
          <bgColor rgb="FFFF555A"/>
        </patternFill>
      </fill>
    </dxf>
    <dxf>
      <fill>
        <patternFill>
          <bgColor rgb="FFFF555A"/>
        </patternFill>
      </fill>
    </dxf>
    <dxf>
      <fill>
        <patternFill>
          <bgColor rgb="FFFFB9BB"/>
        </patternFill>
      </fill>
    </dxf>
    <dxf>
      <fill>
        <patternFill>
          <bgColor rgb="FFC8EAD3"/>
        </patternFill>
      </fill>
    </dxf>
    <dxf>
      <fill>
        <patternFill>
          <bgColor rgb="FFFFB9BB"/>
        </patternFill>
      </fill>
    </dxf>
    <dxf>
      <fill>
        <patternFill patternType="solid">
          <fgColor auto="1"/>
          <bgColor rgb="FFC8EAD3"/>
        </patternFill>
      </fill>
    </dxf>
    <dxf>
      <numFmt numFmtId="183" formatCode="[h];\-\ [h];&quot;-     &quot;"/>
      <fill>
        <patternFill>
          <bgColor rgb="FFFFB9BB"/>
        </patternFill>
      </fill>
    </dxf>
    <dxf>
      <numFmt numFmtId="183" formatCode="[h];\-\ [h];&quot;-     &quot;"/>
      <fill>
        <patternFill patternType="solid">
          <fgColor auto="1"/>
          <bgColor rgb="FFC8EAD3"/>
        </patternFill>
      </fill>
    </dxf>
    <dxf>
      <numFmt numFmtId="174" formatCode=";;;"/>
      <fill>
        <patternFill>
          <bgColor rgb="FFD9D9D9"/>
        </patternFill>
      </fill>
    </dxf>
    <dxf>
      <fill>
        <patternFill>
          <bgColor rgb="FFFFAA60"/>
        </patternFill>
      </fill>
    </dxf>
    <dxf>
      <fill>
        <patternFill>
          <bgColor rgb="FFFF555A"/>
        </patternFill>
      </fill>
    </dxf>
    <dxf>
      <fill>
        <patternFill>
          <bgColor rgb="FFD8E4BC"/>
        </patternFill>
      </fill>
    </dxf>
    <dxf>
      <fill>
        <gradientFill>
          <stop position="0">
            <color rgb="FFFFFFFF"/>
          </stop>
          <stop position="1">
            <color rgb="FFD8E4BC"/>
          </stop>
        </gradientFill>
      </fill>
    </dxf>
    <dxf>
      <fill>
        <patternFill patternType="solid">
          <bgColor rgb="FFEBF1DE"/>
        </patternFill>
      </fill>
    </dxf>
    <dxf>
      <fill>
        <patternFill>
          <bgColor rgb="FFFF555A"/>
        </patternFill>
      </fill>
    </dxf>
    <dxf>
      <font>
        <b val="0"/>
        <i/>
        <u/>
        <color rgb="FFFF555A"/>
      </font>
    </dxf>
    <dxf>
      <font>
        <b val="0"/>
        <i/>
        <u/>
        <color rgb="FFFF555A"/>
      </font>
    </dxf>
    <dxf>
      <fill>
        <patternFill>
          <bgColor rgb="FFFFBBB9"/>
        </patternFill>
      </fill>
    </dxf>
    <dxf>
      <fill>
        <patternFill>
          <bgColor rgb="FFFF555A"/>
        </patternFill>
      </fill>
    </dxf>
    <dxf>
      <fill>
        <patternFill>
          <bgColor rgb="FFFF555A"/>
        </patternFill>
      </fill>
    </dxf>
    <dxf>
      <fill>
        <patternFill>
          <bgColor rgb="FFFFAA60"/>
        </patternFill>
      </fill>
    </dxf>
    <dxf>
      <fill>
        <patternFill>
          <bgColor rgb="FFFF555A"/>
        </patternFill>
      </fill>
    </dxf>
    <dxf>
      <fill>
        <patternFill>
          <bgColor rgb="FFE1E1E1"/>
        </patternFill>
      </fill>
      <border>
        <left style="thin">
          <color auto="1"/>
        </left>
        <right style="thin">
          <color auto="1"/>
        </right>
        <top style="thin">
          <color auto="1"/>
        </top>
        <bottom style="thin">
          <color auto="1"/>
        </bottom>
        <vertical/>
        <horizontal/>
      </border>
    </dxf>
    <dxf>
      <fill>
        <patternFill>
          <bgColor rgb="FFC5D9F1"/>
        </patternFill>
      </fill>
      <border>
        <left style="thin">
          <color auto="1"/>
        </left>
        <right style="thin">
          <color auto="1"/>
        </right>
        <top style="thin">
          <color auto="1"/>
        </top>
        <bottom style="thin">
          <color auto="1"/>
        </bottom>
        <vertical/>
        <horizontal/>
      </border>
    </dxf>
    <dxf>
      <fill>
        <patternFill>
          <bgColor rgb="FFFF555A"/>
        </patternFill>
      </fill>
    </dxf>
    <dxf>
      <fill>
        <patternFill>
          <bgColor rgb="FFFF555A"/>
        </patternFill>
      </fill>
    </dxf>
    <dxf>
      <fill>
        <patternFill>
          <bgColor rgb="FFFFB9BB"/>
        </patternFill>
      </fill>
    </dxf>
    <dxf>
      <fill>
        <patternFill>
          <bgColor rgb="FFC8EAD3"/>
        </patternFill>
      </fill>
    </dxf>
    <dxf>
      <fill>
        <patternFill>
          <bgColor rgb="FFFFB9BB"/>
        </patternFill>
      </fill>
    </dxf>
    <dxf>
      <fill>
        <patternFill patternType="solid">
          <fgColor auto="1"/>
          <bgColor rgb="FFC8EAD3"/>
        </patternFill>
      </fill>
    </dxf>
    <dxf>
      <numFmt numFmtId="183" formatCode="[h];\-\ [h];&quot;-     &quot;"/>
      <fill>
        <patternFill>
          <bgColor rgb="FFFFB9BB"/>
        </patternFill>
      </fill>
    </dxf>
    <dxf>
      <numFmt numFmtId="183" formatCode="[h];\-\ [h];&quot;-     &quot;"/>
      <fill>
        <patternFill patternType="solid">
          <fgColor auto="1"/>
          <bgColor rgb="FFC8EAD3"/>
        </patternFill>
      </fill>
    </dxf>
    <dxf>
      <numFmt numFmtId="174" formatCode=";;;"/>
      <fill>
        <patternFill>
          <bgColor rgb="FFD9D9D9"/>
        </patternFill>
      </fill>
    </dxf>
    <dxf>
      <fill>
        <patternFill>
          <bgColor rgb="FFFFAA60"/>
        </patternFill>
      </fill>
    </dxf>
    <dxf>
      <fill>
        <patternFill>
          <bgColor rgb="FFFF555A"/>
        </patternFill>
      </fill>
    </dxf>
    <dxf>
      <fill>
        <patternFill>
          <bgColor rgb="FFD8E4BC"/>
        </patternFill>
      </fill>
    </dxf>
    <dxf>
      <fill>
        <gradientFill>
          <stop position="0">
            <color rgb="FFFFFFFF"/>
          </stop>
          <stop position="1">
            <color rgb="FFD8E4BC"/>
          </stop>
        </gradientFill>
      </fill>
    </dxf>
    <dxf>
      <fill>
        <patternFill patternType="solid">
          <bgColor rgb="FFEBF1DE"/>
        </patternFill>
      </fill>
    </dxf>
    <dxf>
      <fill>
        <patternFill>
          <bgColor rgb="FFFF555A"/>
        </patternFill>
      </fill>
    </dxf>
    <dxf>
      <font>
        <b val="0"/>
        <i/>
        <u/>
        <color rgb="FFFF555A"/>
      </font>
    </dxf>
    <dxf>
      <font>
        <b val="0"/>
        <i/>
        <u/>
        <color rgb="FFFF555A"/>
      </font>
    </dxf>
    <dxf>
      <fill>
        <patternFill>
          <bgColor rgb="FFFFBBB9"/>
        </patternFill>
      </fill>
    </dxf>
    <dxf>
      <fill>
        <patternFill>
          <bgColor rgb="FFFF555A"/>
        </patternFill>
      </fill>
    </dxf>
    <dxf>
      <fill>
        <patternFill>
          <bgColor rgb="FFFF555A"/>
        </patternFill>
      </fill>
    </dxf>
    <dxf>
      <fill>
        <patternFill>
          <bgColor rgb="FFFFAA60"/>
        </patternFill>
      </fill>
    </dxf>
    <dxf>
      <fill>
        <patternFill>
          <bgColor rgb="FFFF555A"/>
        </patternFill>
      </fill>
    </dxf>
    <dxf>
      <fill>
        <patternFill>
          <bgColor rgb="FFE1E1E1"/>
        </patternFill>
      </fill>
      <border>
        <left style="thin">
          <color auto="1"/>
        </left>
        <right style="thin">
          <color auto="1"/>
        </right>
        <top style="thin">
          <color auto="1"/>
        </top>
        <bottom style="thin">
          <color auto="1"/>
        </bottom>
        <vertical/>
        <horizontal/>
      </border>
    </dxf>
    <dxf>
      <fill>
        <patternFill>
          <bgColor rgb="FFC5D9F1"/>
        </patternFill>
      </fill>
      <border>
        <left style="thin">
          <color auto="1"/>
        </left>
        <right style="thin">
          <color auto="1"/>
        </right>
        <top style="thin">
          <color auto="1"/>
        </top>
        <bottom style="thin">
          <color auto="1"/>
        </bottom>
        <vertical/>
        <horizontal/>
      </border>
    </dxf>
    <dxf>
      <fill>
        <patternFill>
          <bgColor rgb="FFFF555A"/>
        </patternFill>
      </fill>
    </dxf>
    <dxf>
      <fill>
        <patternFill>
          <bgColor rgb="FFFF555A"/>
        </patternFill>
      </fill>
    </dxf>
    <dxf>
      <fill>
        <patternFill>
          <bgColor rgb="FFFFB9BB"/>
        </patternFill>
      </fill>
    </dxf>
    <dxf>
      <fill>
        <patternFill>
          <bgColor rgb="FFC8EAD3"/>
        </patternFill>
      </fill>
    </dxf>
    <dxf>
      <fill>
        <patternFill>
          <bgColor rgb="FFFFB9BB"/>
        </patternFill>
      </fill>
    </dxf>
    <dxf>
      <fill>
        <patternFill patternType="solid">
          <fgColor auto="1"/>
          <bgColor rgb="FFC8EAD3"/>
        </patternFill>
      </fill>
    </dxf>
    <dxf>
      <numFmt numFmtId="183" formatCode="[h];\-\ [h];&quot;-     &quot;"/>
      <fill>
        <patternFill>
          <bgColor rgb="FFFFB9BB"/>
        </patternFill>
      </fill>
    </dxf>
    <dxf>
      <numFmt numFmtId="183" formatCode="[h];\-\ [h];&quot;-     &quot;"/>
      <fill>
        <patternFill patternType="solid">
          <fgColor auto="1"/>
          <bgColor rgb="FFC8EAD3"/>
        </patternFill>
      </fill>
    </dxf>
    <dxf>
      <numFmt numFmtId="174" formatCode=";;;"/>
      <fill>
        <patternFill>
          <bgColor rgb="FFD9D9D9"/>
        </patternFill>
      </fill>
    </dxf>
    <dxf>
      <fill>
        <patternFill>
          <bgColor rgb="FFFFAA60"/>
        </patternFill>
      </fill>
    </dxf>
    <dxf>
      <fill>
        <patternFill>
          <bgColor rgb="FFFF555A"/>
        </patternFill>
      </fill>
    </dxf>
    <dxf>
      <fill>
        <patternFill>
          <bgColor rgb="FFD8E4BC"/>
        </patternFill>
      </fill>
    </dxf>
    <dxf>
      <fill>
        <gradientFill>
          <stop position="0">
            <color rgb="FFFFFFFF"/>
          </stop>
          <stop position="1">
            <color rgb="FFD8E4BC"/>
          </stop>
        </gradientFill>
      </fill>
    </dxf>
    <dxf>
      <fill>
        <patternFill patternType="solid">
          <bgColor rgb="FFEBF1DE"/>
        </patternFill>
      </fill>
    </dxf>
    <dxf>
      <fill>
        <patternFill>
          <bgColor rgb="FFFF555A"/>
        </patternFill>
      </fill>
    </dxf>
    <dxf>
      <font>
        <b val="0"/>
        <i/>
        <u/>
        <color rgb="FFFF555A"/>
      </font>
    </dxf>
    <dxf>
      <font>
        <b val="0"/>
        <i/>
        <u/>
        <color rgb="FFFF555A"/>
      </font>
    </dxf>
    <dxf>
      <fill>
        <patternFill>
          <bgColor rgb="FFFFBBB9"/>
        </patternFill>
      </fill>
    </dxf>
    <dxf>
      <fill>
        <patternFill>
          <bgColor rgb="FFFF555A"/>
        </patternFill>
      </fill>
    </dxf>
    <dxf>
      <fill>
        <patternFill>
          <bgColor rgb="FFFF555A"/>
        </patternFill>
      </fill>
    </dxf>
    <dxf>
      <fill>
        <patternFill>
          <bgColor rgb="FFFFAA60"/>
        </patternFill>
      </fill>
    </dxf>
    <dxf>
      <fill>
        <patternFill>
          <bgColor rgb="FFFF555A"/>
        </patternFill>
      </fill>
    </dxf>
    <dxf>
      <fill>
        <patternFill>
          <bgColor rgb="FFE1E1E1"/>
        </patternFill>
      </fill>
      <border>
        <left style="thin">
          <color auto="1"/>
        </left>
        <right style="thin">
          <color auto="1"/>
        </right>
        <top style="thin">
          <color auto="1"/>
        </top>
        <bottom style="thin">
          <color auto="1"/>
        </bottom>
        <vertical/>
        <horizontal/>
      </border>
    </dxf>
    <dxf>
      <fill>
        <patternFill>
          <bgColor rgb="FFC5D9F1"/>
        </patternFill>
      </fill>
      <border>
        <left style="thin">
          <color auto="1"/>
        </left>
        <right style="thin">
          <color auto="1"/>
        </right>
        <top style="thin">
          <color auto="1"/>
        </top>
        <bottom style="thin">
          <color auto="1"/>
        </bottom>
        <vertical/>
        <horizontal/>
      </border>
    </dxf>
    <dxf>
      <fill>
        <patternFill>
          <bgColor rgb="FFFF555A"/>
        </patternFill>
      </fill>
    </dxf>
    <dxf>
      <fill>
        <patternFill>
          <bgColor rgb="FFFF555A"/>
        </patternFill>
      </fill>
    </dxf>
    <dxf>
      <fill>
        <patternFill>
          <bgColor rgb="FFFFB9BB"/>
        </patternFill>
      </fill>
    </dxf>
    <dxf>
      <fill>
        <patternFill>
          <bgColor rgb="FFC8EAD3"/>
        </patternFill>
      </fill>
    </dxf>
    <dxf>
      <fill>
        <patternFill>
          <bgColor rgb="FFFFB9BB"/>
        </patternFill>
      </fill>
    </dxf>
    <dxf>
      <fill>
        <patternFill patternType="solid">
          <fgColor auto="1"/>
          <bgColor rgb="FFC8EAD3"/>
        </patternFill>
      </fill>
    </dxf>
    <dxf>
      <numFmt numFmtId="183" formatCode="[h];\-\ [h];&quot;-     &quot;"/>
      <fill>
        <patternFill>
          <bgColor rgb="FFFFB9BB"/>
        </patternFill>
      </fill>
    </dxf>
    <dxf>
      <numFmt numFmtId="183" formatCode="[h];\-\ [h];&quot;-     &quot;"/>
      <fill>
        <patternFill patternType="solid">
          <fgColor auto="1"/>
          <bgColor rgb="FFC8EAD3"/>
        </patternFill>
      </fill>
    </dxf>
    <dxf>
      <numFmt numFmtId="174" formatCode=";;;"/>
      <fill>
        <patternFill>
          <bgColor rgb="FFD9D9D9"/>
        </patternFill>
      </fill>
    </dxf>
    <dxf>
      <fill>
        <patternFill>
          <bgColor rgb="FFFFAA60"/>
        </patternFill>
      </fill>
    </dxf>
    <dxf>
      <fill>
        <patternFill>
          <bgColor rgb="FFFF555A"/>
        </patternFill>
      </fill>
    </dxf>
    <dxf>
      <fill>
        <patternFill>
          <bgColor rgb="FFD8E4BC"/>
        </patternFill>
      </fill>
    </dxf>
    <dxf>
      <fill>
        <gradientFill>
          <stop position="0">
            <color rgb="FFFFFFFF"/>
          </stop>
          <stop position="1">
            <color rgb="FFD8E4BC"/>
          </stop>
        </gradientFill>
      </fill>
    </dxf>
    <dxf>
      <fill>
        <patternFill patternType="solid">
          <bgColor rgb="FFEBF1DE"/>
        </patternFill>
      </fill>
    </dxf>
    <dxf>
      <fill>
        <patternFill>
          <bgColor rgb="FFFF555A"/>
        </patternFill>
      </fill>
    </dxf>
    <dxf>
      <font>
        <b val="0"/>
        <i/>
        <u/>
        <color rgb="FFFF555A"/>
      </font>
    </dxf>
    <dxf>
      <font>
        <b val="0"/>
        <i/>
        <u/>
        <color rgb="FFFF555A"/>
      </font>
    </dxf>
    <dxf>
      <fill>
        <patternFill>
          <bgColor rgb="FFFFBBB9"/>
        </patternFill>
      </fill>
    </dxf>
    <dxf>
      <fill>
        <patternFill>
          <bgColor rgb="FFFF555A"/>
        </patternFill>
      </fill>
    </dxf>
    <dxf>
      <fill>
        <patternFill>
          <bgColor rgb="FFFF555A"/>
        </patternFill>
      </fill>
    </dxf>
    <dxf>
      <fill>
        <patternFill>
          <bgColor rgb="FFFFAA60"/>
        </patternFill>
      </fill>
    </dxf>
    <dxf>
      <fill>
        <patternFill>
          <bgColor rgb="FFFF555A"/>
        </patternFill>
      </fill>
    </dxf>
    <dxf>
      <fill>
        <patternFill>
          <bgColor rgb="FFE1E1E1"/>
        </patternFill>
      </fill>
      <border>
        <left style="thin">
          <color auto="1"/>
        </left>
        <right style="thin">
          <color auto="1"/>
        </right>
        <top style="thin">
          <color auto="1"/>
        </top>
        <bottom style="thin">
          <color auto="1"/>
        </bottom>
        <vertical/>
        <horizontal/>
      </border>
    </dxf>
    <dxf>
      <fill>
        <patternFill>
          <bgColor rgb="FFC5D9F1"/>
        </patternFill>
      </fill>
      <border>
        <left style="thin">
          <color auto="1"/>
        </left>
        <right style="thin">
          <color auto="1"/>
        </right>
        <top style="thin">
          <color auto="1"/>
        </top>
        <bottom style="thin">
          <color auto="1"/>
        </bottom>
        <vertical/>
        <horizontal/>
      </border>
    </dxf>
    <dxf>
      <fill>
        <patternFill>
          <bgColor rgb="FFFF555A"/>
        </patternFill>
      </fill>
    </dxf>
    <dxf>
      <fill>
        <patternFill>
          <bgColor rgb="FFFF555A"/>
        </patternFill>
      </fill>
    </dxf>
    <dxf>
      <fill>
        <patternFill>
          <bgColor rgb="FFFFB9BB"/>
        </patternFill>
      </fill>
    </dxf>
    <dxf>
      <fill>
        <patternFill>
          <bgColor rgb="FFC8EAD3"/>
        </patternFill>
      </fill>
    </dxf>
    <dxf>
      <fill>
        <patternFill>
          <bgColor rgb="FFFFB9BB"/>
        </patternFill>
      </fill>
    </dxf>
    <dxf>
      <fill>
        <patternFill patternType="solid">
          <fgColor auto="1"/>
          <bgColor rgb="FFC8EAD3"/>
        </patternFill>
      </fill>
    </dxf>
    <dxf>
      <numFmt numFmtId="183" formatCode="[h];\-\ [h];&quot;-     &quot;"/>
      <fill>
        <patternFill>
          <bgColor rgb="FFFFB9BB"/>
        </patternFill>
      </fill>
    </dxf>
    <dxf>
      <numFmt numFmtId="183" formatCode="[h];\-\ [h];&quot;-     &quot;"/>
      <fill>
        <patternFill patternType="solid">
          <fgColor auto="1"/>
          <bgColor rgb="FFC8EAD3"/>
        </patternFill>
      </fill>
    </dxf>
    <dxf>
      <numFmt numFmtId="174" formatCode=";;;"/>
      <fill>
        <patternFill>
          <bgColor rgb="FFD9D9D9"/>
        </patternFill>
      </fill>
    </dxf>
    <dxf>
      <fill>
        <patternFill>
          <bgColor rgb="FFFFAA60"/>
        </patternFill>
      </fill>
    </dxf>
    <dxf>
      <fill>
        <patternFill>
          <bgColor rgb="FFFF555A"/>
        </patternFill>
      </fill>
    </dxf>
    <dxf>
      <fill>
        <patternFill>
          <bgColor rgb="FFD8E4BC"/>
        </patternFill>
      </fill>
    </dxf>
    <dxf>
      <fill>
        <gradientFill>
          <stop position="0">
            <color rgb="FFFFFFFF"/>
          </stop>
          <stop position="1">
            <color rgb="FFD8E4BC"/>
          </stop>
        </gradientFill>
      </fill>
    </dxf>
    <dxf>
      <fill>
        <patternFill patternType="solid">
          <bgColor rgb="FFEBF1DE"/>
        </patternFill>
      </fill>
    </dxf>
    <dxf>
      <fill>
        <patternFill>
          <bgColor rgb="FFFF555A"/>
        </patternFill>
      </fill>
    </dxf>
    <dxf>
      <font>
        <b val="0"/>
        <i/>
        <u/>
        <color rgb="FFFF555A"/>
      </font>
    </dxf>
    <dxf>
      <font>
        <b val="0"/>
        <i/>
        <u/>
        <color rgb="FFFF555A"/>
      </font>
    </dxf>
    <dxf>
      <fill>
        <patternFill>
          <bgColor rgb="FFFFBBB9"/>
        </patternFill>
      </fill>
    </dxf>
    <dxf>
      <fill>
        <patternFill>
          <bgColor rgb="FFFF555A"/>
        </patternFill>
      </fill>
    </dxf>
    <dxf>
      <fill>
        <patternFill>
          <bgColor rgb="FFFF555A"/>
        </patternFill>
      </fill>
    </dxf>
    <dxf>
      <fill>
        <patternFill>
          <bgColor rgb="FFFFAA60"/>
        </patternFill>
      </fill>
    </dxf>
    <dxf>
      <fill>
        <patternFill>
          <bgColor rgb="FFFF555A"/>
        </patternFill>
      </fill>
    </dxf>
    <dxf>
      <fill>
        <patternFill>
          <bgColor rgb="FFE1E1E1"/>
        </patternFill>
      </fill>
      <border>
        <left style="thin">
          <color auto="1"/>
        </left>
        <right style="thin">
          <color auto="1"/>
        </right>
        <top style="thin">
          <color auto="1"/>
        </top>
        <bottom style="thin">
          <color auto="1"/>
        </bottom>
        <vertical/>
        <horizontal/>
      </border>
    </dxf>
    <dxf>
      <fill>
        <patternFill>
          <bgColor rgb="FFC5D9F1"/>
        </patternFill>
      </fill>
      <border>
        <left style="thin">
          <color auto="1"/>
        </left>
        <right style="thin">
          <color auto="1"/>
        </right>
        <top style="thin">
          <color auto="1"/>
        </top>
        <bottom style="thin">
          <color auto="1"/>
        </bottom>
        <vertical/>
        <horizontal/>
      </border>
    </dxf>
    <dxf>
      <fill>
        <patternFill>
          <bgColor rgb="FFFF555A"/>
        </patternFill>
      </fill>
    </dxf>
    <dxf>
      <fill>
        <patternFill>
          <bgColor rgb="FFFF555A"/>
        </patternFill>
      </fill>
    </dxf>
    <dxf>
      <fill>
        <patternFill>
          <bgColor rgb="FFFFB9BB"/>
        </patternFill>
      </fill>
    </dxf>
    <dxf>
      <fill>
        <patternFill>
          <bgColor rgb="FFC8EAD3"/>
        </patternFill>
      </fill>
    </dxf>
    <dxf>
      <fill>
        <patternFill>
          <bgColor rgb="FFFFB9BB"/>
        </patternFill>
      </fill>
    </dxf>
    <dxf>
      <fill>
        <patternFill patternType="solid">
          <fgColor auto="1"/>
          <bgColor rgb="FFC8EAD3"/>
        </patternFill>
      </fill>
    </dxf>
    <dxf>
      <numFmt numFmtId="183" formatCode="[h];\-\ [h];&quot;-     &quot;"/>
      <fill>
        <patternFill>
          <bgColor rgb="FFFFB9BB"/>
        </patternFill>
      </fill>
    </dxf>
    <dxf>
      <numFmt numFmtId="183" formatCode="[h];\-\ [h];&quot;-     &quot;"/>
      <fill>
        <patternFill patternType="solid">
          <fgColor auto="1"/>
          <bgColor rgb="FFC8EAD3"/>
        </patternFill>
      </fill>
    </dxf>
    <dxf>
      <numFmt numFmtId="174" formatCode=";;;"/>
      <fill>
        <patternFill>
          <bgColor rgb="FFD9D9D9"/>
        </patternFill>
      </fill>
    </dxf>
    <dxf>
      <fill>
        <patternFill>
          <bgColor rgb="FFFFAA60"/>
        </patternFill>
      </fill>
    </dxf>
    <dxf>
      <fill>
        <patternFill>
          <bgColor rgb="FFFF555A"/>
        </patternFill>
      </fill>
    </dxf>
    <dxf>
      <fill>
        <patternFill>
          <bgColor rgb="FFD8E4BC"/>
        </patternFill>
      </fill>
    </dxf>
    <dxf>
      <fill>
        <gradientFill>
          <stop position="0">
            <color rgb="FFFFFFFF"/>
          </stop>
          <stop position="1">
            <color rgb="FFD8E4BC"/>
          </stop>
        </gradientFill>
      </fill>
    </dxf>
    <dxf>
      <fill>
        <patternFill patternType="solid">
          <bgColor rgb="FFEBF1DE"/>
        </patternFill>
      </fill>
    </dxf>
    <dxf>
      <fill>
        <patternFill>
          <bgColor rgb="FFFF555A"/>
        </patternFill>
      </fill>
    </dxf>
    <dxf>
      <font>
        <b val="0"/>
        <i/>
        <u/>
        <color rgb="FFFF555A"/>
      </font>
    </dxf>
    <dxf>
      <font>
        <b val="0"/>
        <i/>
        <u/>
        <color rgb="FFFF555A"/>
      </font>
    </dxf>
    <dxf>
      <fill>
        <patternFill>
          <bgColor rgb="FFFFBBB9"/>
        </patternFill>
      </fill>
    </dxf>
    <dxf>
      <fill>
        <patternFill>
          <bgColor rgb="FFFF555A"/>
        </patternFill>
      </fill>
    </dxf>
    <dxf>
      <fill>
        <patternFill>
          <bgColor rgb="FFFF555A"/>
        </patternFill>
      </fill>
    </dxf>
    <dxf>
      <fill>
        <patternFill>
          <bgColor rgb="FFFFAA60"/>
        </patternFill>
      </fill>
    </dxf>
    <dxf>
      <fill>
        <patternFill>
          <bgColor rgb="FFFF555A"/>
        </patternFill>
      </fill>
    </dxf>
    <dxf>
      <fill>
        <patternFill>
          <bgColor rgb="FFE1E1E1"/>
        </patternFill>
      </fill>
      <border>
        <left style="thin">
          <color auto="1"/>
        </left>
        <right style="thin">
          <color auto="1"/>
        </right>
        <top style="thin">
          <color auto="1"/>
        </top>
        <bottom style="thin">
          <color auto="1"/>
        </bottom>
        <vertical/>
        <horizontal/>
      </border>
    </dxf>
    <dxf>
      <fill>
        <patternFill>
          <bgColor rgb="FFC5D9F1"/>
        </patternFill>
      </fill>
      <border>
        <left style="thin">
          <color auto="1"/>
        </left>
        <right style="thin">
          <color auto="1"/>
        </right>
        <top style="thin">
          <color auto="1"/>
        </top>
        <bottom style="thin">
          <color auto="1"/>
        </bottom>
        <vertical/>
        <horizontal/>
      </border>
    </dxf>
    <dxf>
      <fill>
        <patternFill>
          <bgColor rgb="FFFF555A"/>
        </patternFill>
      </fill>
    </dxf>
    <dxf>
      <fill>
        <patternFill>
          <bgColor rgb="FFFF555A"/>
        </patternFill>
      </fill>
    </dxf>
    <dxf>
      <fill>
        <patternFill>
          <bgColor rgb="FFFFB9BB"/>
        </patternFill>
      </fill>
    </dxf>
    <dxf>
      <fill>
        <patternFill>
          <bgColor rgb="FFC8EAD3"/>
        </patternFill>
      </fill>
    </dxf>
    <dxf>
      <fill>
        <patternFill>
          <bgColor rgb="FFFFB9BB"/>
        </patternFill>
      </fill>
    </dxf>
    <dxf>
      <fill>
        <patternFill patternType="solid">
          <fgColor auto="1"/>
          <bgColor rgb="FFC8EAD3"/>
        </patternFill>
      </fill>
    </dxf>
    <dxf>
      <numFmt numFmtId="183" formatCode="[h];\-\ [h];&quot;-     &quot;"/>
      <fill>
        <patternFill>
          <bgColor rgb="FFFFB9BB"/>
        </patternFill>
      </fill>
    </dxf>
    <dxf>
      <numFmt numFmtId="183" formatCode="[h];\-\ [h];&quot;-     &quot;"/>
      <fill>
        <patternFill patternType="solid">
          <fgColor auto="1"/>
          <bgColor rgb="FFC8EAD3"/>
        </patternFill>
      </fill>
    </dxf>
    <dxf>
      <numFmt numFmtId="174" formatCode=";;;"/>
      <fill>
        <patternFill>
          <bgColor rgb="FFD9D9D9"/>
        </patternFill>
      </fill>
    </dxf>
    <dxf>
      <fill>
        <patternFill>
          <bgColor rgb="FFFFAA60"/>
        </patternFill>
      </fill>
    </dxf>
    <dxf>
      <fill>
        <patternFill>
          <bgColor rgb="FFFF555A"/>
        </patternFill>
      </fill>
    </dxf>
    <dxf>
      <fill>
        <patternFill>
          <bgColor rgb="FFD8E4BC"/>
        </patternFill>
      </fill>
    </dxf>
    <dxf>
      <fill>
        <gradientFill>
          <stop position="0">
            <color rgb="FFFFFFFF"/>
          </stop>
          <stop position="1">
            <color rgb="FFD8E4BC"/>
          </stop>
        </gradientFill>
      </fill>
    </dxf>
    <dxf>
      <fill>
        <patternFill patternType="solid">
          <bgColor rgb="FFEBF1DE"/>
        </patternFill>
      </fill>
    </dxf>
    <dxf>
      <fill>
        <patternFill>
          <bgColor rgb="FFFF555A"/>
        </patternFill>
      </fill>
    </dxf>
    <dxf>
      <font>
        <b val="0"/>
        <i/>
        <u/>
        <color rgb="FFFF555A"/>
      </font>
    </dxf>
    <dxf>
      <font>
        <b val="0"/>
        <i/>
        <u/>
        <color rgb="FFFF555A"/>
      </font>
    </dxf>
    <dxf>
      <fill>
        <patternFill>
          <bgColor rgb="FFFFBBB9"/>
        </patternFill>
      </fill>
    </dxf>
    <dxf>
      <fill>
        <patternFill>
          <bgColor rgb="FFFF555A"/>
        </patternFill>
      </fill>
    </dxf>
    <dxf>
      <fill>
        <patternFill>
          <bgColor rgb="FFFF555A"/>
        </patternFill>
      </fill>
    </dxf>
    <dxf>
      <fill>
        <patternFill>
          <bgColor rgb="FFFFAA60"/>
        </patternFill>
      </fill>
    </dxf>
    <dxf>
      <fill>
        <patternFill>
          <bgColor rgb="FFFF555A"/>
        </patternFill>
      </fill>
    </dxf>
    <dxf>
      <fill>
        <patternFill>
          <bgColor rgb="FFE1E1E1"/>
        </patternFill>
      </fill>
      <border>
        <left style="thin">
          <color auto="1"/>
        </left>
        <right style="thin">
          <color auto="1"/>
        </right>
        <top style="thin">
          <color auto="1"/>
        </top>
        <bottom style="thin">
          <color auto="1"/>
        </bottom>
        <vertical/>
        <horizontal/>
      </border>
    </dxf>
    <dxf>
      <fill>
        <patternFill>
          <bgColor rgb="FFC5D9F1"/>
        </patternFill>
      </fill>
      <border>
        <left style="thin">
          <color auto="1"/>
        </left>
        <right style="thin">
          <color auto="1"/>
        </right>
        <top style="thin">
          <color auto="1"/>
        </top>
        <bottom style="thin">
          <color auto="1"/>
        </bottom>
        <vertical/>
        <horizontal/>
      </border>
    </dxf>
    <dxf>
      <fill>
        <patternFill>
          <bgColor rgb="FFFF555A"/>
        </patternFill>
      </fill>
    </dxf>
    <dxf>
      <fill>
        <patternFill>
          <bgColor rgb="FFFF555A"/>
        </patternFill>
      </fill>
    </dxf>
    <dxf>
      <fill>
        <patternFill>
          <bgColor rgb="FFFFB9BB"/>
        </patternFill>
      </fill>
    </dxf>
    <dxf>
      <fill>
        <patternFill>
          <bgColor rgb="FFC8EAD3"/>
        </patternFill>
      </fill>
    </dxf>
    <dxf>
      <fill>
        <patternFill>
          <bgColor rgb="FFFFB9BB"/>
        </patternFill>
      </fill>
    </dxf>
    <dxf>
      <fill>
        <patternFill patternType="solid">
          <fgColor auto="1"/>
          <bgColor rgb="FFC8EAD3"/>
        </patternFill>
      </fill>
    </dxf>
    <dxf>
      <numFmt numFmtId="183" formatCode="[h];\-\ [h];&quot;-     &quot;"/>
      <fill>
        <patternFill>
          <bgColor rgb="FFFFB9BB"/>
        </patternFill>
      </fill>
    </dxf>
    <dxf>
      <numFmt numFmtId="183" formatCode="[h];\-\ [h];&quot;-     &quot;"/>
      <fill>
        <patternFill patternType="solid">
          <fgColor auto="1"/>
          <bgColor rgb="FFC8EAD3"/>
        </patternFill>
      </fill>
    </dxf>
    <dxf>
      <numFmt numFmtId="174" formatCode=";;;"/>
      <fill>
        <patternFill>
          <bgColor rgb="FFD9D9D9"/>
        </patternFill>
      </fill>
    </dxf>
    <dxf>
      <fill>
        <patternFill>
          <bgColor rgb="FFFFAA60"/>
        </patternFill>
      </fill>
    </dxf>
    <dxf>
      <fill>
        <patternFill>
          <bgColor rgb="FFFF555A"/>
        </patternFill>
      </fill>
    </dxf>
    <dxf>
      <fill>
        <patternFill>
          <bgColor rgb="FFD8E4BC"/>
        </patternFill>
      </fill>
    </dxf>
    <dxf>
      <fill>
        <gradientFill>
          <stop position="0">
            <color rgb="FFFFFFFF"/>
          </stop>
          <stop position="1">
            <color rgb="FFD8E4BC"/>
          </stop>
        </gradientFill>
      </fill>
    </dxf>
    <dxf>
      <fill>
        <patternFill patternType="solid">
          <bgColor rgb="FFEBF1DE"/>
        </patternFill>
      </fill>
    </dxf>
    <dxf>
      <fill>
        <patternFill>
          <bgColor rgb="FFFF555A"/>
        </patternFill>
      </fill>
    </dxf>
    <dxf>
      <numFmt numFmtId="184" formatCode="@\ * &quot;from &quot;"/>
    </dxf>
    <dxf>
      <numFmt numFmtId="185" formatCode="@\ * &quot;ab &quot;"/>
    </dxf>
    <dxf>
      <fill>
        <patternFill>
          <bgColor rgb="FFFF555A"/>
        </patternFill>
      </fill>
    </dxf>
    <dxf>
      <fill>
        <patternFill>
          <bgColor rgb="FFFF555A"/>
        </patternFill>
      </fill>
    </dxf>
    <dxf>
      <font>
        <color auto="1"/>
      </font>
      <numFmt numFmtId="186" formatCode="m/d/yyyy"/>
    </dxf>
    <dxf>
      <fill>
        <patternFill>
          <bgColor rgb="FFFF555A"/>
        </patternFill>
      </fill>
    </dxf>
    <dxf>
      <fill>
        <patternFill>
          <bgColor rgb="FFFF555A"/>
        </patternFill>
      </fill>
    </dxf>
    <dxf>
      <fill>
        <patternFill>
          <bgColor rgb="FFFF555A"/>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555A"/>
      <color rgb="FFF2F2F2"/>
      <color rgb="FFFFBBB9"/>
      <color rgb="FFD6614E"/>
      <color rgb="FFC8EAD3"/>
      <color rgb="FFFFB9BB"/>
      <color rgb="FFE1E1E1"/>
      <color rgb="FFFFAA60"/>
      <color rgb="FF63C384"/>
      <color rgb="FFE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S58"/>
  <sheetViews>
    <sheetView showGridLines="0" tabSelected="1" zoomScaleNormal="100" workbookViewId="0">
      <selection activeCell="B3" sqref="B3:F3"/>
    </sheetView>
  </sheetViews>
  <sheetFormatPr baseColWidth="10" defaultColWidth="10.75" defaultRowHeight="12.75" outlineLevelCol="1" x14ac:dyDescent="0.2"/>
  <cols>
    <col min="1" max="1" width="27" style="31" customWidth="1"/>
    <col min="2" max="2" width="12.875" style="31" bestFit="1" customWidth="1"/>
    <col min="3" max="3" width="2.75" style="33" customWidth="1"/>
    <col min="4" max="5" width="14.125" style="31" customWidth="1"/>
    <col min="6" max="6" width="16.125" style="31" customWidth="1"/>
    <col min="7" max="7" width="2" style="31" customWidth="1"/>
    <col min="8" max="8" width="20.625" style="31" customWidth="1"/>
    <col min="9" max="9" width="12.875" style="31" bestFit="1" customWidth="1"/>
    <col min="10" max="10" width="15.625" style="31" customWidth="1"/>
    <col min="11" max="11" width="14.125" style="31" bestFit="1" customWidth="1"/>
    <col min="12" max="12" width="15.5" style="31" bestFit="1" customWidth="1"/>
    <col min="13" max="13" width="27" style="31" customWidth="1"/>
    <col min="14" max="14" width="3.75" style="31" customWidth="1"/>
    <col min="15" max="15" width="15.75" style="31" hidden="1" customWidth="1" outlineLevel="1"/>
    <col min="16" max="16" width="20.875" style="31" hidden="1" customWidth="1" outlineLevel="1"/>
    <col min="17" max="17" width="20.5" style="31" hidden="1" customWidth="1" outlineLevel="1"/>
    <col min="18" max="18" width="20.875" style="31" hidden="1" customWidth="1" outlineLevel="1"/>
    <col min="19" max="19" width="10.75" style="11" collapsed="1"/>
    <col min="20" max="16384" width="10.75" style="11"/>
  </cols>
  <sheetData>
    <row r="1" spans="1:18" s="36" customFormat="1" ht="22.5" customHeight="1" x14ac:dyDescent="0.2">
      <c r="A1" s="99" t="s">
        <v>22</v>
      </c>
      <c r="B1" s="469" t="s">
        <v>23</v>
      </c>
      <c r="C1" s="470"/>
      <c r="D1" s="470"/>
      <c r="E1" s="470"/>
      <c r="F1" s="100">
        <v>2020</v>
      </c>
      <c r="G1" s="101"/>
      <c r="H1" s="101"/>
      <c r="I1" s="101"/>
      <c r="J1" s="101"/>
      <c r="K1" s="102"/>
      <c r="L1" s="102"/>
      <c r="M1" s="102" t="s">
        <v>264</v>
      </c>
      <c r="N1" s="103" t="s">
        <v>171</v>
      </c>
      <c r="O1" s="101"/>
      <c r="P1" s="101"/>
      <c r="Q1" s="103"/>
      <c r="R1" s="104"/>
    </row>
    <row r="2" spans="1:18" ht="15" customHeight="1" x14ac:dyDescent="0.2">
      <c r="A2" s="105" t="s">
        <v>24</v>
      </c>
      <c r="B2" s="467">
        <f>DATE(EB.Jahr,1,1)</f>
        <v>42369</v>
      </c>
      <c r="C2" s="467"/>
      <c r="D2" s="467"/>
      <c r="E2" s="467"/>
      <c r="F2" s="468"/>
      <c r="G2" s="106"/>
      <c r="H2" s="105" t="s">
        <v>30</v>
      </c>
      <c r="I2" s="465" t="s">
        <v>71</v>
      </c>
      <c r="J2" s="481"/>
      <c r="K2" s="481"/>
      <c r="L2" s="466"/>
      <c r="M2" s="107"/>
      <c r="N2" s="108"/>
      <c r="O2" s="461" t="s">
        <v>107</v>
      </c>
      <c r="P2" s="474"/>
      <c r="Q2" s="474"/>
      <c r="R2" s="462"/>
    </row>
    <row r="3" spans="1:18" ht="15" customHeight="1" x14ac:dyDescent="0.2">
      <c r="A3" s="109" t="s">
        <v>5</v>
      </c>
      <c r="B3" s="455"/>
      <c r="C3" s="456"/>
      <c r="D3" s="456"/>
      <c r="E3" s="456"/>
      <c r="F3" s="457"/>
      <c r="G3" s="110"/>
      <c r="H3" s="105" t="s">
        <v>31</v>
      </c>
      <c r="I3" s="465" t="s">
        <v>72</v>
      </c>
      <c r="J3" s="481"/>
      <c r="K3" s="481"/>
      <c r="L3" s="466"/>
      <c r="M3" s="107"/>
      <c r="N3" s="106"/>
      <c r="O3" s="475" t="s">
        <v>108</v>
      </c>
      <c r="P3" s="476"/>
      <c r="Q3" s="477"/>
      <c r="R3" s="12" t="e">
        <f>EB.Jahr-YEAR(EB.Geburtsjahr)</f>
        <v>#VALUE!</v>
      </c>
    </row>
    <row r="4" spans="1:18" ht="15" customHeight="1" x14ac:dyDescent="0.2">
      <c r="A4" s="105" t="s">
        <v>25</v>
      </c>
      <c r="B4" s="69"/>
      <c r="C4" s="463" t="s">
        <v>28</v>
      </c>
      <c r="D4" s="473"/>
      <c r="E4" s="464"/>
      <c r="F4" s="70" t="str">
        <f>IF(ISNUMBER(EB.Geburtsdatum),EB.Geburtsdatum,"")</f>
        <v/>
      </c>
      <c r="G4" s="111"/>
      <c r="H4" s="105" t="s">
        <v>32</v>
      </c>
      <c r="I4" s="465" t="s">
        <v>104</v>
      </c>
      <c r="J4" s="481"/>
      <c r="K4" s="481"/>
      <c r="L4" s="466"/>
      <c r="M4" s="107"/>
      <c r="N4" s="106"/>
      <c r="O4" s="478" t="s">
        <v>263</v>
      </c>
      <c r="P4" s="112" t="s">
        <v>109</v>
      </c>
      <c r="Q4" s="113"/>
      <c r="R4" s="85" t="e">
        <f>IF(R3&lt;21,2,IF(EB.Lernender=INDEX(T.JaNein.Bereich,1,1),2,0))</f>
        <v>#VALUE!</v>
      </c>
    </row>
    <row r="5" spans="1:18" ht="15" customHeight="1" x14ac:dyDescent="0.2">
      <c r="A5" s="105" t="s">
        <v>26</v>
      </c>
      <c r="B5" s="71"/>
      <c r="C5" s="463" t="s">
        <v>247</v>
      </c>
      <c r="D5" s="464"/>
      <c r="E5" s="96" t="s">
        <v>106</v>
      </c>
      <c r="F5" s="114">
        <f ca="1">IF(EB.Anwendung&lt;&gt;"",MAX(DATE(EB.Jahr,1,1),EB.UJEintritt),"")</f>
        <v>42369</v>
      </c>
      <c r="G5" s="106"/>
      <c r="H5" s="105" t="s">
        <v>33</v>
      </c>
      <c r="I5" s="465" t="s">
        <v>105</v>
      </c>
      <c r="J5" s="481"/>
      <c r="K5" s="481"/>
      <c r="L5" s="466"/>
      <c r="M5" s="107"/>
      <c r="N5" s="106"/>
      <c r="O5" s="479"/>
      <c r="P5" s="115" t="s">
        <v>110</v>
      </c>
      <c r="Q5" s="116"/>
      <c r="R5" s="85" t="e">
        <f>IF(R3&gt;49,2,0)</f>
        <v>#VALUE!</v>
      </c>
    </row>
    <row r="6" spans="1:18" ht="15" customHeight="1" x14ac:dyDescent="0.2">
      <c r="A6" s="105" t="s">
        <v>27</v>
      </c>
      <c r="B6" s="69"/>
      <c r="C6" s="463" t="s">
        <v>29</v>
      </c>
      <c r="D6" s="473"/>
      <c r="E6" s="464"/>
      <c r="F6" s="75"/>
      <c r="G6" s="106"/>
      <c r="H6" s="105" t="s">
        <v>34</v>
      </c>
      <c r="I6" s="93" t="s">
        <v>106</v>
      </c>
      <c r="J6" s="461" t="s">
        <v>216</v>
      </c>
      <c r="K6" s="462"/>
      <c r="L6" s="94" t="s">
        <v>190</v>
      </c>
      <c r="M6" s="107"/>
      <c r="N6" s="106"/>
      <c r="O6" s="480"/>
      <c r="P6" s="115" t="s">
        <v>111</v>
      </c>
      <c r="Q6" s="116"/>
      <c r="R6" s="85" t="e">
        <f>IF(R3&gt;59,5,0)</f>
        <v>#VALUE!</v>
      </c>
    </row>
    <row r="7" spans="1:18" ht="15" customHeight="1" x14ac:dyDescent="0.2">
      <c r="A7" s="117" t="str">
        <f ca="1">IFERROR(INFO("VERSION"),"andere")</f>
        <v>16.0</v>
      </c>
      <c r="B7" s="106"/>
      <c r="C7" s="463" t="s">
        <v>250</v>
      </c>
      <c r="D7" s="464"/>
      <c r="E7" s="465"/>
      <c r="F7" s="466"/>
      <c r="G7" s="106"/>
      <c r="H7" s="105" t="s">
        <v>35</v>
      </c>
      <c r="I7" s="76">
        <v>1.75</v>
      </c>
      <c r="J7" s="461" t="s">
        <v>36</v>
      </c>
      <c r="K7" s="462"/>
      <c r="L7" s="74">
        <v>100</v>
      </c>
      <c r="M7" s="118"/>
      <c r="N7" s="106"/>
      <c r="O7" s="119"/>
      <c r="P7" s="120"/>
      <c r="Q7" s="119"/>
      <c r="R7" s="121"/>
    </row>
    <row r="8" spans="1:18" ht="15.75" x14ac:dyDescent="0.2">
      <c r="A8" s="122" t="s">
        <v>37</v>
      </c>
      <c r="B8" s="123"/>
      <c r="C8" s="124"/>
      <c r="D8" s="123"/>
      <c r="E8" s="123"/>
      <c r="F8" s="123"/>
      <c r="G8" s="123"/>
      <c r="H8" s="123"/>
      <c r="I8" s="123"/>
      <c r="J8" s="123"/>
      <c r="K8" s="123"/>
      <c r="L8" s="123"/>
      <c r="M8" s="107"/>
      <c r="N8" s="125"/>
      <c r="O8" s="123"/>
      <c r="P8" s="123"/>
      <c r="Q8" s="123"/>
      <c r="R8" s="126"/>
    </row>
    <row r="9" spans="1:18" ht="15" customHeight="1" x14ac:dyDescent="0.2">
      <c r="A9" s="127" t="s">
        <v>38</v>
      </c>
      <c r="B9" s="128"/>
      <c r="C9" s="129"/>
      <c r="D9" s="128"/>
      <c r="E9" s="128"/>
      <c r="F9" s="128"/>
      <c r="G9" s="128"/>
      <c r="H9" s="128"/>
      <c r="I9" s="128"/>
      <c r="J9" s="128"/>
      <c r="K9" s="128"/>
      <c r="L9" s="128"/>
      <c r="M9" s="130"/>
      <c r="N9" s="131"/>
      <c r="O9" s="131"/>
      <c r="P9" s="131"/>
      <c r="Q9" s="132"/>
      <c r="R9" s="133"/>
    </row>
    <row r="10" spans="1:18" ht="15" customHeight="1" x14ac:dyDescent="0.2">
      <c r="A10" s="119"/>
      <c r="B10" s="119"/>
      <c r="C10" s="134"/>
      <c r="D10" s="135" t="s">
        <v>261</v>
      </c>
      <c r="E10" s="14" t="str">
        <f>IF(EB.Geburtsjahr="","0",(25+R4+R5+R6))</f>
        <v>0</v>
      </c>
      <c r="F10" s="136"/>
      <c r="G10" s="136"/>
      <c r="H10" s="119"/>
      <c r="I10" s="119"/>
      <c r="J10" s="135" t="s">
        <v>262</v>
      </c>
      <c r="K10" s="14" t="str">
        <f ca="1">IF(K25=0,"-     ",(K25/(EB.Wochenarbeitszeit/5)))</f>
        <v xml:space="preserve">-     </v>
      </c>
      <c r="L10" s="136"/>
      <c r="M10" s="136"/>
      <c r="N10" s="136"/>
      <c r="O10" s="119"/>
      <c r="P10" s="119"/>
      <c r="Q10" s="119"/>
      <c r="R10" s="137"/>
    </row>
    <row r="11" spans="1:18" ht="15" customHeight="1" x14ac:dyDescent="0.2">
      <c r="A11" s="138"/>
      <c r="B11" s="138"/>
      <c r="C11" s="139"/>
      <c r="D11" s="140" t="s">
        <v>39</v>
      </c>
      <c r="E11" s="141"/>
      <c r="F11" s="15">
        <f>IF(EB.Wochenarbeitszeit=50/24,0,126/24)</f>
        <v>5.25</v>
      </c>
      <c r="G11" s="136"/>
      <c r="H11" s="138"/>
      <c r="I11" s="138"/>
      <c r="J11" s="140" t="s">
        <v>187</v>
      </c>
      <c r="K11" s="142"/>
      <c r="L11" s="16">
        <f ca="1">L25</f>
        <v>5.25</v>
      </c>
      <c r="M11" s="107"/>
      <c r="N11" s="136"/>
      <c r="O11" s="119"/>
      <c r="P11" s="119"/>
      <c r="Q11" s="119"/>
      <c r="R11" s="137"/>
    </row>
    <row r="12" spans="1:18" ht="25.5" x14ac:dyDescent="0.2">
      <c r="A12" s="143" t="s">
        <v>40</v>
      </c>
      <c r="B12" s="144" t="s">
        <v>191</v>
      </c>
      <c r="C12" s="471" t="s">
        <v>192</v>
      </c>
      <c r="D12" s="472"/>
      <c r="E12" s="145" t="s">
        <v>193</v>
      </c>
      <c r="F12" s="144" t="s">
        <v>194</v>
      </c>
      <c r="G12" s="146"/>
      <c r="H12" s="144" t="s">
        <v>195</v>
      </c>
      <c r="I12" s="144" t="s">
        <v>196</v>
      </c>
      <c r="J12" s="144" t="s">
        <v>197</v>
      </c>
      <c r="K12" s="145" t="s">
        <v>198</v>
      </c>
      <c r="L12" s="144" t="s">
        <v>199</v>
      </c>
      <c r="M12" s="107"/>
      <c r="N12" s="146"/>
      <c r="O12" s="147" t="s">
        <v>112</v>
      </c>
      <c r="P12" s="147" t="s">
        <v>113</v>
      </c>
      <c r="Q12" s="148" t="s">
        <v>114</v>
      </c>
      <c r="R12" s="147" t="s">
        <v>201</v>
      </c>
    </row>
    <row r="13" spans="1:18" ht="15" customHeight="1" x14ac:dyDescent="0.2">
      <c r="A13" s="149" t="s">
        <v>41</v>
      </c>
      <c r="B13" s="17">
        <f ca="1">IF(EB.Anwendung&lt;&gt;"",January!Monat.AZSoll100.Total,"")</f>
        <v>7.349999999999997</v>
      </c>
      <c r="C13" s="18"/>
      <c r="D13" s="19">
        <f t="shared" ref="D13:D24" si="0">ROUND(EB.Wochenarbeitszeit/5*1440,0)/1440</f>
        <v>0.35</v>
      </c>
      <c r="E13" s="19">
        <f>E25/12</f>
        <v>0</v>
      </c>
      <c r="F13" s="20">
        <f>F11/12</f>
        <v>0.4375</v>
      </c>
      <c r="G13" s="136"/>
      <c r="H13" s="150">
        <f t="shared" ref="H13:H24" si="1">IF(OR(AND(EB.UJEintritt&lt;&gt;"",MONTH(EB.UJEintritt)&gt;ROW(H13)-ROW(EB.EffBG.Knoten)),AND(EB.UJAustritt&lt;&gt;"",MONTH(EB.UJAustritt)&lt;ROW(H13)-ROW(EB.EffBG.Knoten))),0,IF(MONTH(EB.UJEintritt)=ROW(H13)-ROW(EB.EffBG.Knoten),EB.BG,IF(ROW(H13)-ROW(EB.EffBG.Knoten) &gt; 1,H12,EB.BG)))</f>
        <v>100</v>
      </c>
      <c r="I13" s="20">
        <f ca="1">IF(EB.Anwendung&lt;&gt;"",January!Monat.AZSoll.Total,"")</f>
        <v>7.349999999999997</v>
      </c>
      <c r="J13" s="20">
        <f t="shared" ref="J13:J24" si="2">ROUND(EB.Wochenarbeitszeit/5/100*H13*1440,0)/1440</f>
        <v>0.35</v>
      </c>
      <c r="K13" s="19">
        <f ca="1">ROUND(E13*I13/B13*1440,0)/1440</f>
        <v>0</v>
      </c>
      <c r="L13" s="20">
        <f ca="1">ROUND(F13*I13/B13*1440,0)/1440</f>
        <v>0.4375</v>
      </c>
      <c r="M13" s="107"/>
      <c r="N13" s="136"/>
      <c r="O13" s="22">
        <f ca="1">I13</f>
        <v>7.349999999999997</v>
      </c>
      <c r="P13" s="22">
        <f ca="1">K13</f>
        <v>0</v>
      </c>
      <c r="Q13" s="23">
        <f ca="1">L13</f>
        <v>0.4375</v>
      </c>
      <c r="R13" s="13">
        <f t="shared" ref="R13:R23" ca="1" si="3">IF(I13=0,0,1)</f>
        <v>1</v>
      </c>
    </row>
    <row r="14" spans="1:18" ht="15" customHeight="1" x14ac:dyDescent="0.2">
      <c r="A14" s="149" t="s">
        <v>42</v>
      </c>
      <c r="B14" s="17">
        <f ca="1">IF(EB.Anwendung&lt;&gt;"",February!Monat.AZSoll100.Total,"")</f>
        <v>6.9999999999999973</v>
      </c>
      <c r="C14" s="18"/>
      <c r="D14" s="19">
        <f t="shared" si="0"/>
        <v>0.35</v>
      </c>
      <c r="E14" s="19">
        <f>E25/12</f>
        <v>0</v>
      </c>
      <c r="F14" s="20">
        <f>F11/12</f>
        <v>0.4375</v>
      </c>
      <c r="G14" s="136"/>
      <c r="H14" s="150">
        <f t="shared" si="1"/>
        <v>100</v>
      </c>
      <c r="I14" s="20">
        <f ca="1">IF(EB.Anwendung&lt;&gt;"",February!Monat.AZSoll.Total,"")</f>
        <v>6.9999999999999973</v>
      </c>
      <c r="J14" s="20">
        <f t="shared" si="2"/>
        <v>0.35</v>
      </c>
      <c r="K14" s="19">
        <f t="shared" ref="K14:K24" ca="1" si="4">ROUND(E14*I14/B14*1440,0)/1440</f>
        <v>0</v>
      </c>
      <c r="L14" s="20">
        <f t="shared" ref="L14:L24" ca="1" si="5">ROUND(F14*I14/B14*1440,0)/1440</f>
        <v>0.4375</v>
      </c>
      <c r="M14" s="107"/>
      <c r="N14" s="136"/>
      <c r="O14" s="22">
        <f t="shared" ref="O14:O24" ca="1" si="6">O13+I14</f>
        <v>14.349999999999994</v>
      </c>
      <c r="P14" s="22">
        <f t="shared" ref="P14:P24" ca="1" si="7">P13+K14</f>
        <v>0</v>
      </c>
      <c r="Q14" s="23">
        <f t="shared" ref="Q14:Q24" ca="1" si="8">Q13+L14</f>
        <v>0.875</v>
      </c>
      <c r="R14" s="13">
        <f t="shared" ca="1" si="3"/>
        <v>1</v>
      </c>
    </row>
    <row r="15" spans="1:18" ht="15" customHeight="1" x14ac:dyDescent="0.2">
      <c r="A15" s="149" t="s">
        <v>43</v>
      </c>
      <c r="B15" s="17">
        <f ca="1">IF(EB.Anwendung&lt;&gt;"",March!Monat.AZSoll100.Total,"")</f>
        <v>7.6999999999999966</v>
      </c>
      <c r="C15" s="18"/>
      <c r="D15" s="19">
        <f t="shared" si="0"/>
        <v>0.35</v>
      </c>
      <c r="E15" s="19">
        <f>E25/12</f>
        <v>0</v>
      </c>
      <c r="F15" s="20">
        <f>F11/12</f>
        <v>0.4375</v>
      </c>
      <c r="G15" s="136"/>
      <c r="H15" s="150">
        <f t="shared" si="1"/>
        <v>100</v>
      </c>
      <c r="I15" s="20">
        <f ca="1">IF(EB.Anwendung&lt;&gt;"",March!Monat.AZSoll.Total,"")</f>
        <v>7.6999999999999966</v>
      </c>
      <c r="J15" s="20">
        <f t="shared" si="2"/>
        <v>0.35</v>
      </c>
      <c r="K15" s="19">
        <f t="shared" ca="1" si="4"/>
        <v>0</v>
      </c>
      <c r="L15" s="20">
        <f t="shared" ca="1" si="5"/>
        <v>0.4375</v>
      </c>
      <c r="M15" s="107"/>
      <c r="N15" s="136"/>
      <c r="O15" s="22">
        <f t="shared" ca="1" si="6"/>
        <v>22.04999999999999</v>
      </c>
      <c r="P15" s="22">
        <f t="shared" ca="1" si="7"/>
        <v>0</v>
      </c>
      <c r="Q15" s="23">
        <f t="shared" ca="1" si="8"/>
        <v>1.3125</v>
      </c>
      <c r="R15" s="13">
        <f t="shared" ca="1" si="3"/>
        <v>1</v>
      </c>
    </row>
    <row r="16" spans="1:18" ht="15" customHeight="1" x14ac:dyDescent="0.2">
      <c r="A16" s="149" t="s">
        <v>16</v>
      </c>
      <c r="B16" s="17">
        <f ca="1">IF(EB.Anwendung&lt;&gt;"",April!Monat.AZSoll100.Total,"")</f>
        <v>6.7249999999999979</v>
      </c>
      <c r="C16" s="18"/>
      <c r="D16" s="19">
        <f t="shared" si="0"/>
        <v>0.35</v>
      </c>
      <c r="E16" s="19">
        <f>E25/12</f>
        <v>0</v>
      </c>
      <c r="F16" s="20">
        <f>F11/12</f>
        <v>0.4375</v>
      </c>
      <c r="G16" s="136"/>
      <c r="H16" s="150">
        <f t="shared" si="1"/>
        <v>100</v>
      </c>
      <c r="I16" s="20">
        <f ca="1">IF(EB.Anwendung&lt;&gt;"",April!Monat.AZSoll.Total,"")</f>
        <v>6.7249999999999979</v>
      </c>
      <c r="J16" s="20">
        <f t="shared" si="2"/>
        <v>0.35</v>
      </c>
      <c r="K16" s="19">
        <f t="shared" ca="1" si="4"/>
        <v>0</v>
      </c>
      <c r="L16" s="20">
        <f t="shared" ca="1" si="5"/>
        <v>0.4375</v>
      </c>
      <c r="M16" s="107"/>
      <c r="N16" s="136"/>
      <c r="O16" s="22">
        <f t="shared" ca="1" si="6"/>
        <v>28.774999999999988</v>
      </c>
      <c r="P16" s="22">
        <f t="shared" ca="1" si="7"/>
        <v>0</v>
      </c>
      <c r="Q16" s="23">
        <f t="shared" ca="1" si="8"/>
        <v>1.75</v>
      </c>
      <c r="R16" s="13">
        <f t="shared" ca="1" si="3"/>
        <v>1</v>
      </c>
    </row>
    <row r="17" spans="1:18" ht="15" customHeight="1" x14ac:dyDescent="0.2">
      <c r="A17" s="149" t="s">
        <v>44</v>
      </c>
      <c r="B17" s="17">
        <f ca="1">IF(EB.Anwendung&lt;&gt;"",May!Monat.AZSoll100.Total,"")</f>
        <v>6.549999999999998</v>
      </c>
      <c r="C17" s="18"/>
      <c r="D17" s="19">
        <f t="shared" si="0"/>
        <v>0.35</v>
      </c>
      <c r="E17" s="19">
        <f>E25/12</f>
        <v>0</v>
      </c>
      <c r="F17" s="20">
        <f>F11/12</f>
        <v>0.4375</v>
      </c>
      <c r="G17" s="136"/>
      <c r="H17" s="150">
        <f t="shared" si="1"/>
        <v>100</v>
      </c>
      <c r="I17" s="20">
        <f ca="1">IF(EB.Anwendung&lt;&gt;"",May!Monat.AZSoll.Total,"")</f>
        <v>6.549999999999998</v>
      </c>
      <c r="J17" s="20">
        <f t="shared" si="2"/>
        <v>0.35</v>
      </c>
      <c r="K17" s="19">
        <f t="shared" ca="1" si="4"/>
        <v>0</v>
      </c>
      <c r="L17" s="20">
        <f t="shared" ca="1" si="5"/>
        <v>0.4375</v>
      </c>
      <c r="M17" s="107"/>
      <c r="N17" s="136"/>
      <c r="O17" s="22">
        <f t="shared" ca="1" si="6"/>
        <v>35.324999999999989</v>
      </c>
      <c r="P17" s="22">
        <f t="shared" ca="1" si="7"/>
        <v>0</v>
      </c>
      <c r="Q17" s="23">
        <f t="shared" ca="1" si="8"/>
        <v>2.1875</v>
      </c>
      <c r="R17" s="13">
        <f t="shared" ca="1" si="3"/>
        <v>1</v>
      </c>
    </row>
    <row r="18" spans="1:18" ht="15" customHeight="1" x14ac:dyDescent="0.2">
      <c r="A18" s="149" t="s">
        <v>45</v>
      </c>
      <c r="B18" s="17">
        <f ca="1">IF(EB.Anwendung&lt;&gt;"",June!Monat.AZSoll100.Total,"")</f>
        <v>7.349999999999997</v>
      </c>
      <c r="C18" s="18"/>
      <c r="D18" s="19">
        <f t="shared" si="0"/>
        <v>0.35</v>
      </c>
      <c r="E18" s="19">
        <f>E25/12</f>
        <v>0</v>
      </c>
      <c r="F18" s="20">
        <f>F11/12</f>
        <v>0.4375</v>
      </c>
      <c r="G18" s="136"/>
      <c r="H18" s="150">
        <f t="shared" si="1"/>
        <v>100</v>
      </c>
      <c r="I18" s="20">
        <f ca="1">IF(EB.Anwendung&lt;&gt;"",June!Monat.AZSoll.Total,"")</f>
        <v>7.349999999999997</v>
      </c>
      <c r="J18" s="20">
        <f t="shared" si="2"/>
        <v>0.35</v>
      </c>
      <c r="K18" s="19">
        <f t="shared" ca="1" si="4"/>
        <v>0</v>
      </c>
      <c r="L18" s="20">
        <f t="shared" ca="1" si="5"/>
        <v>0.4375</v>
      </c>
      <c r="M18" s="107"/>
      <c r="N18" s="136"/>
      <c r="O18" s="22">
        <f t="shared" ca="1" si="6"/>
        <v>42.674999999999983</v>
      </c>
      <c r="P18" s="22">
        <f t="shared" ca="1" si="7"/>
        <v>0</v>
      </c>
      <c r="Q18" s="23">
        <f t="shared" ca="1" si="8"/>
        <v>2.625</v>
      </c>
      <c r="R18" s="13">
        <f t="shared" ca="1" si="3"/>
        <v>1</v>
      </c>
    </row>
    <row r="19" spans="1:18" ht="15" customHeight="1" x14ac:dyDescent="0.2">
      <c r="A19" s="149" t="s">
        <v>46</v>
      </c>
      <c r="B19" s="17">
        <f ca="1">IF(EB.Anwendung&lt;&gt;"",July!Monat.AZSoll100.Total,"")</f>
        <v>8.0499999999999972</v>
      </c>
      <c r="C19" s="18"/>
      <c r="D19" s="19">
        <f t="shared" si="0"/>
        <v>0.35</v>
      </c>
      <c r="E19" s="19">
        <f>E25/12</f>
        <v>0</v>
      </c>
      <c r="F19" s="20">
        <f>F11/12</f>
        <v>0.4375</v>
      </c>
      <c r="G19" s="136"/>
      <c r="H19" s="150">
        <f t="shared" si="1"/>
        <v>100</v>
      </c>
      <c r="I19" s="20">
        <f ca="1">IF(EB.Anwendung&lt;&gt;"",July!Monat.AZSoll.Total,"")</f>
        <v>8.0499999999999972</v>
      </c>
      <c r="J19" s="20">
        <f t="shared" si="2"/>
        <v>0.35</v>
      </c>
      <c r="K19" s="19">
        <f t="shared" ca="1" si="4"/>
        <v>0</v>
      </c>
      <c r="L19" s="20">
        <f t="shared" ca="1" si="5"/>
        <v>0.4375</v>
      </c>
      <c r="M19" s="107"/>
      <c r="N19" s="136"/>
      <c r="O19" s="22">
        <f t="shared" ca="1" si="6"/>
        <v>50.72499999999998</v>
      </c>
      <c r="P19" s="22">
        <f t="shared" ca="1" si="7"/>
        <v>0</v>
      </c>
      <c r="Q19" s="23">
        <f t="shared" ca="1" si="8"/>
        <v>3.0625</v>
      </c>
      <c r="R19" s="13">
        <f t="shared" ca="1" si="3"/>
        <v>1</v>
      </c>
    </row>
    <row r="20" spans="1:18" ht="15" customHeight="1" x14ac:dyDescent="0.2">
      <c r="A20" s="149" t="s">
        <v>17</v>
      </c>
      <c r="B20" s="17">
        <f ca="1">IF(EB.Anwendung&lt;&gt;"",August!Monat.AZSoll100.Total,"")</f>
        <v>7.349999999999997</v>
      </c>
      <c r="C20" s="18"/>
      <c r="D20" s="19">
        <f t="shared" si="0"/>
        <v>0.35</v>
      </c>
      <c r="E20" s="19">
        <f>E25/12</f>
        <v>0</v>
      </c>
      <c r="F20" s="20">
        <f>F11/12</f>
        <v>0.4375</v>
      </c>
      <c r="G20" s="136"/>
      <c r="H20" s="150">
        <f t="shared" si="1"/>
        <v>100</v>
      </c>
      <c r="I20" s="20">
        <f ca="1">IF(EB.Anwendung&lt;&gt;"",August!Monat.AZSoll.Total,"")</f>
        <v>7.349999999999997</v>
      </c>
      <c r="J20" s="20">
        <f t="shared" si="2"/>
        <v>0.35</v>
      </c>
      <c r="K20" s="19">
        <f t="shared" ca="1" si="4"/>
        <v>0</v>
      </c>
      <c r="L20" s="20">
        <f t="shared" ca="1" si="5"/>
        <v>0.4375</v>
      </c>
      <c r="M20" s="107"/>
      <c r="N20" s="136"/>
      <c r="O20" s="22">
        <f t="shared" ca="1" si="6"/>
        <v>58.074999999999974</v>
      </c>
      <c r="P20" s="22">
        <f t="shared" ca="1" si="7"/>
        <v>0</v>
      </c>
      <c r="Q20" s="23">
        <f t="shared" ca="1" si="8"/>
        <v>3.5</v>
      </c>
      <c r="R20" s="13">
        <f t="shared" ca="1" si="3"/>
        <v>1</v>
      </c>
    </row>
    <row r="21" spans="1:18" ht="15" customHeight="1" x14ac:dyDescent="0.2">
      <c r="A21" s="149" t="s">
        <v>18</v>
      </c>
      <c r="B21" s="17">
        <f ca="1">IF(EB.Anwendung&lt;&gt;"",September!Monat.AZSoll100.Total,"")</f>
        <v>7.5249999999999968</v>
      </c>
      <c r="C21" s="18"/>
      <c r="D21" s="19">
        <f t="shared" si="0"/>
        <v>0.35</v>
      </c>
      <c r="E21" s="19">
        <f>E25/12</f>
        <v>0</v>
      </c>
      <c r="F21" s="20">
        <f>F11/12</f>
        <v>0.4375</v>
      </c>
      <c r="G21" s="136"/>
      <c r="H21" s="150">
        <f t="shared" si="1"/>
        <v>100</v>
      </c>
      <c r="I21" s="20">
        <f ca="1">IF(EB.Anwendung&lt;&gt;"",September!Monat.AZSoll.Total,"")</f>
        <v>7.5249999999999968</v>
      </c>
      <c r="J21" s="20">
        <f t="shared" si="2"/>
        <v>0.35</v>
      </c>
      <c r="K21" s="19">
        <f t="shared" ca="1" si="4"/>
        <v>0</v>
      </c>
      <c r="L21" s="20">
        <f t="shared" ca="1" si="5"/>
        <v>0.4375</v>
      </c>
      <c r="M21" s="107"/>
      <c r="N21" s="136"/>
      <c r="O21" s="22">
        <f t="shared" ca="1" si="6"/>
        <v>65.599999999999966</v>
      </c>
      <c r="P21" s="22">
        <f t="shared" ca="1" si="7"/>
        <v>0</v>
      </c>
      <c r="Q21" s="23">
        <f t="shared" ca="1" si="8"/>
        <v>3.9375</v>
      </c>
      <c r="R21" s="13">
        <f t="shared" ca="1" si="3"/>
        <v>1</v>
      </c>
    </row>
    <row r="22" spans="1:18" ht="15" customHeight="1" x14ac:dyDescent="0.2">
      <c r="A22" s="149" t="s">
        <v>47</v>
      </c>
      <c r="B22" s="17">
        <f ca="1">IF(EB.Anwendung&lt;&gt;"",October!Monat.AZSoll100.Total,"")</f>
        <v>7.6999999999999966</v>
      </c>
      <c r="C22" s="18"/>
      <c r="D22" s="19">
        <f t="shared" si="0"/>
        <v>0.35</v>
      </c>
      <c r="E22" s="19">
        <f>E25/12</f>
        <v>0</v>
      </c>
      <c r="F22" s="20">
        <f>F11/12</f>
        <v>0.4375</v>
      </c>
      <c r="G22" s="136"/>
      <c r="H22" s="150">
        <f t="shared" si="1"/>
        <v>100</v>
      </c>
      <c r="I22" s="20">
        <f ca="1">IF(EB.Anwendung&lt;&gt;"",October!Monat.AZSoll.Total,"")</f>
        <v>7.6999999999999966</v>
      </c>
      <c r="J22" s="20">
        <f t="shared" si="2"/>
        <v>0.35</v>
      </c>
      <c r="K22" s="19">
        <f t="shared" ca="1" si="4"/>
        <v>0</v>
      </c>
      <c r="L22" s="20">
        <f t="shared" ca="1" si="5"/>
        <v>0.4375</v>
      </c>
      <c r="M22" s="107"/>
      <c r="N22" s="136"/>
      <c r="O22" s="22">
        <f t="shared" ca="1" si="6"/>
        <v>73.299999999999969</v>
      </c>
      <c r="P22" s="22">
        <f t="shared" ca="1" si="7"/>
        <v>0</v>
      </c>
      <c r="Q22" s="23">
        <f t="shared" ca="1" si="8"/>
        <v>4.375</v>
      </c>
      <c r="R22" s="13">
        <f t="shared" ca="1" si="3"/>
        <v>1</v>
      </c>
    </row>
    <row r="23" spans="1:18" ht="15" customHeight="1" x14ac:dyDescent="0.2">
      <c r="A23" s="149" t="s">
        <v>19</v>
      </c>
      <c r="B23" s="17">
        <f ca="1">IF(EB.Anwendung&lt;&gt;"",November!Monat.AZSoll100.Total,"")</f>
        <v>7.349999999999997</v>
      </c>
      <c r="C23" s="18"/>
      <c r="D23" s="19">
        <f t="shared" si="0"/>
        <v>0.35</v>
      </c>
      <c r="E23" s="19">
        <f>E25/12</f>
        <v>0</v>
      </c>
      <c r="F23" s="20">
        <f>F11/12</f>
        <v>0.4375</v>
      </c>
      <c r="G23" s="136"/>
      <c r="H23" s="150">
        <f t="shared" si="1"/>
        <v>100</v>
      </c>
      <c r="I23" s="20">
        <f ca="1">IF(EB.Anwendung&lt;&gt;"",November!Monat.AZSoll.Total,"")</f>
        <v>7.349999999999997</v>
      </c>
      <c r="J23" s="20">
        <f t="shared" si="2"/>
        <v>0.35</v>
      </c>
      <c r="K23" s="19">
        <f t="shared" ca="1" si="4"/>
        <v>0</v>
      </c>
      <c r="L23" s="20">
        <f t="shared" ca="1" si="5"/>
        <v>0.4375</v>
      </c>
      <c r="M23" s="107"/>
      <c r="N23" s="136"/>
      <c r="O23" s="22">
        <f t="shared" ca="1" si="6"/>
        <v>80.649999999999963</v>
      </c>
      <c r="P23" s="22">
        <f t="shared" ca="1" si="7"/>
        <v>0</v>
      </c>
      <c r="Q23" s="23">
        <f t="shared" ca="1" si="8"/>
        <v>4.8125</v>
      </c>
      <c r="R23" s="13">
        <f t="shared" ca="1" si="3"/>
        <v>1</v>
      </c>
    </row>
    <row r="24" spans="1:18" ht="15" customHeight="1" x14ac:dyDescent="0.2">
      <c r="A24" s="149" t="s">
        <v>48</v>
      </c>
      <c r="B24" s="17">
        <f ca="1">IF(EB.Anwendung&lt;&gt;"",December!Monat.AZSoll100.Total,"")</f>
        <v>7.4249999999999972</v>
      </c>
      <c r="C24" s="18"/>
      <c r="D24" s="19">
        <f t="shared" si="0"/>
        <v>0.35</v>
      </c>
      <c r="E24" s="19">
        <f>E25/12</f>
        <v>0</v>
      </c>
      <c r="F24" s="20">
        <f>F11/12</f>
        <v>0.4375</v>
      </c>
      <c r="G24" s="136"/>
      <c r="H24" s="150">
        <f t="shared" si="1"/>
        <v>100</v>
      </c>
      <c r="I24" s="20">
        <f ca="1">IF(EB.Anwendung&lt;&gt;"",December!Monat.AZSoll.Total,"")</f>
        <v>7.4249999999999972</v>
      </c>
      <c r="J24" s="20">
        <f t="shared" si="2"/>
        <v>0.35</v>
      </c>
      <c r="K24" s="19">
        <f t="shared" ca="1" si="4"/>
        <v>0</v>
      </c>
      <c r="L24" s="20">
        <f t="shared" ca="1" si="5"/>
        <v>0.4375</v>
      </c>
      <c r="M24" s="107"/>
      <c r="N24" s="136"/>
      <c r="O24" s="22">
        <f t="shared" ca="1" si="6"/>
        <v>88.07499999999996</v>
      </c>
      <c r="P24" s="22">
        <f t="shared" ca="1" si="7"/>
        <v>0</v>
      </c>
      <c r="Q24" s="23">
        <f t="shared" ca="1" si="8"/>
        <v>5.25</v>
      </c>
      <c r="R24" s="13">
        <f ca="1">IF(I24=0,0,1)</f>
        <v>1</v>
      </c>
    </row>
    <row r="25" spans="1:18" ht="15" customHeight="1" x14ac:dyDescent="0.2">
      <c r="A25" s="151" t="s">
        <v>0</v>
      </c>
      <c r="B25" s="152">
        <f ca="1">SUM(B13:B24)</f>
        <v>88.07499999999996</v>
      </c>
      <c r="C25" s="153"/>
      <c r="D25" s="118"/>
      <c r="E25" s="24">
        <f>E10*(EB.Wochenarbeitszeit/5)</f>
        <v>0</v>
      </c>
      <c r="F25" s="152">
        <f>SUM(F13:F24)</f>
        <v>5.25</v>
      </c>
      <c r="G25" s="107"/>
      <c r="H25" s="154">
        <f ca="1">IF(R25=0,"-     ",AVERAGEIF(H13:H24,"&gt;0"))</f>
        <v>100</v>
      </c>
      <c r="I25" s="152">
        <f ca="1">SUM(I13:I24)</f>
        <v>88.07499999999996</v>
      </c>
      <c r="J25" s="152">
        <f>ROUND(AVERAGEIF(J13:J24,"&gt;0")*1440,0)/1440</f>
        <v>0.35</v>
      </c>
      <c r="K25" s="152">
        <f ca="1">SUM(K13:K24)</f>
        <v>0</v>
      </c>
      <c r="L25" s="152">
        <f ca="1">SUM(L13:L24)</f>
        <v>5.25</v>
      </c>
      <c r="M25" s="107"/>
      <c r="N25" s="107"/>
      <c r="O25" s="119"/>
      <c r="P25" s="119"/>
      <c r="Q25" s="137"/>
      <c r="R25" s="155">
        <f ca="1">SUM(R13:R24)</f>
        <v>12</v>
      </c>
    </row>
    <row r="26" spans="1:18" ht="15" customHeight="1" x14ac:dyDescent="0.2">
      <c r="A26" s="126"/>
      <c r="B26" s="126"/>
      <c r="C26" s="156"/>
      <c r="D26" s="126"/>
      <c r="E26" s="126"/>
      <c r="F26" s="126"/>
      <c r="G26" s="126"/>
      <c r="H26" s="157" t="s">
        <v>49</v>
      </c>
      <c r="I26" s="126"/>
      <c r="J26" s="126"/>
      <c r="K26" s="126"/>
      <c r="L26" s="126"/>
      <c r="M26" s="126"/>
      <c r="N26" s="123"/>
      <c r="O26" s="126"/>
      <c r="P26" s="126"/>
      <c r="Q26" s="126"/>
      <c r="R26" s="126"/>
    </row>
    <row r="27" spans="1:18" ht="15.75" x14ac:dyDescent="0.25">
      <c r="A27" s="158" t="s">
        <v>123</v>
      </c>
      <c r="B27" s="159"/>
      <c r="C27" s="160"/>
      <c r="D27" s="159"/>
      <c r="E27" s="159"/>
      <c r="F27" s="159"/>
      <c r="G27" s="159"/>
      <c r="H27" s="458" t="s">
        <v>66</v>
      </c>
      <c r="I27" s="458"/>
      <c r="J27" s="458"/>
      <c r="K27" s="458"/>
      <c r="L27" s="126"/>
      <c r="M27" s="126"/>
      <c r="N27" s="123"/>
      <c r="O27" s="126"/>
      <c r="P27" s="126"/>
      <c r="Q27" s="126"/>
      <c r="R27" s="126"/>
    </row>
    <row r="28" spans="1:18" ht="41.25" customHeight="1" x14ac:dyDescent="0.2">
      <c r="A28" s="161"/>
      <c r="B28" s="162" t="s">
        <v>51</v>
      </c>
      <c r="C28" s="459" t="s">
        <v>203</v>
      </c>
      <c r="D28" s="460"/>
      <c r="E28" s="162" t="s">
        <v>0</v>
      </c>
      <c r="F28" s="146"/>
      <c r="G28" s="146"/>
      <c r="H28" s="452" t="s">
        <v>255</v>
      </c>
      <c r="I28" s="453"/>
      <c r="J28" s="453"/>
      <c r="K28" s="453"/>
      <c r="L28" s="453"/>
      <c r="M28" s="454"/>
      <c r="N28" s="163"/>
      <c r="O28" s="164" t="s">
        <v>202</v>
      </c>
      <c r="P28" s="165"/>
      <c r="Q28" s="165"/>
      <c r="R28" s="165"/>
    </row>
    <row r="29" spans="1:18" ht="15" customHeight="1" x14ac:dyDescent="0.2">
      <c r="A29" s="166" t="s">
        <v>53</v>
      </c>
      <c r="B29" s="446"/>
      <c r="C29" s="25" t="s">
        <v>3</v>
      </c>
      <c r="D29" s="26"/>
      <c r="E29" s="167">
        <f>IF(C29="+",(B29+D29),(B29-D29))</f>
        <v>0</v>
      </c>
      <c r="F29" s="146"/>
      <c r="G29" s="146"/>
      <c r="H29" s="168">
        <f>COUNTIF(EB.Projekte.RahmenBereich,"&lt;&gt;")-COUNTIF(EB.Projekte.RahmenBereich,"=Projekt 1?")-COUNTIF(EB.Projekte.RahmenBereich,"=Projekt 1")-COUNTIF(EB.Projekte.RahmenBereich,"=Projekt 2")-COUNTIF(EB.Projekte.RahmenBereich,"=Projekt 3")-COUNTIF(EB.Projekte.RahmenBereich,"=Projekt 4")-COUNTIF(EB.Projekte.RahmenBereich,"=Projekt 5")-COUNTIF(EB.Projekte.RahmenBereich,"=Projekt 6")-COUNTIF(EB.Projekte.RahmenBereich,"=Projekt 7")-COUNTIF(EB.Projekte.RahmenBereich,"=Projekt 8")-COUNTIF(EB.Projekte.RahmenBereich,"=Projekt 9")-COUNTIF(EB.Projekte.RahmenBereich,"=Project 1?")-COUNTIF(EB.Projekte.RahmenBereich,"=Project 1")-COUNTIF(EB.Projekte.RahmenBereich,"=Project 2")-COUNTIF(EB.Projekte.RahmenBereich,"=Project 3")-COUNTIF(EB.Projekte.RahmenBereich,"=Project 4")-COUNTIF(EB.Projekte.RahmenBereich,"=Project 5")-COUNTIF(EB.Projekte.RahmenBereich,"=Project 6")-COUNTIF(EB.Projekte.RahmenBereich,"=Project 7")-COUNTIF(EB.Projekte.RahmenBereich,"=Project 8")-COUNTIF(EB.Projekte.RahmenBereich,"=Project 9")</f>
        <v>0</v>
      </c>
      <c r="I29" s="169" t="str">
        <f>IF(H27="Projects",IF(EB.AnzProjekte=1,"Project","Projects"),IF(EB.AnzProjekte=1,"Projekt","Projekte"))</f>
        <v>Projects</v>
      </c>
      <c r="J29" s="449" t="s">
        <v>188</v>
      </c>
      <c r="K29" s="450"/>
      <c r="L29" s="450"/>
      <c r="M29" s="451"/>
      <c r="N29" s="163"/>
      <c r="O29" s="22">
        <f>IF(C29="+",D29,(D29*(-1)))</f>
        <v>0</v>
      </c>
      <c r="P29" s="146"/>
      <c r="Q29" s="146"/>
      <c r="R29" s="146"/>
    </row>
    <row r="30" spans="1:18" ht="15" customHeight="1" x14ac:dyDescent="0.2">
      <c r="A30" s="166" t="s">
        <v>54</v>
      </c>
      <c r="B30" s="447"/>
      <c r="C30" s="25" t="s">
        <v>3</v>
      </c>
      <c r="D30" s="26"/>
      <c r="E30" s="167">
        <f>IF(C30="+",(B30+D30),(B30-D30))</f>
        <v>0</v>
      </c>
      <c r="F30" s="107"/>
      <c r="G30" s="107"/>
      <c r="H30" s="170" t="s">
        <v>67</v>
      </c>
      <c r="I30" s="171" t="s">
        <v>68</v>
      </c>
      <c r="J30" s="171" t="s">
        <v>237</v>
      </c>
      <c r="K30" s="171" t="s">
        <v>69</v>
      </c>
      <c r="L30" s="171" t="s">
        <v>70</v>
      </c>
      <c r="M30" s="171" t="s">
        <v>186</v>
      </c>
      <c r="N30" s="119"/>
      <c r="O30" s="22">
        <f>IF(C30="+",D30,(D30*(-1)))</f>
        <v>0</v>
      </c>
      <c r="P30" s="137"/>
      <c r="Q30" s="137"/>
      <c r="R30" s="137"/>
    </row>
    <row r="31" spans="1:18" ht="15" customHeight="1" x14ac:dyDescent="0.2">
      <c r="A31" s="166" t="s">
        <v>200</v>
      </c>
      <c r="B31" s="448"/>
      <c r="C31" s="25" t="s">
        <v>3</v>
      </c>
      <c r="D31" s="26"/>
      <c r="E31" s="167">
        <f>IF(C31="+",(B31+D31),(B31-D31))</f>
        <v>0</v>
      </c>
      <c r="F31" s="107"/>
      <c r="G31" s="107"/>
      <c r="H31" s="28" t="s">
        <v>147</v>
      </c>
      <c r="I31" s="28"/>
      <c r="J31" s="29"/>
      <c r="K31" s="29"/>
      <c r="L31" s="29"/>
      <c r="M31" s="21"/>
      <c r="N31" s="119"/>
      <c r="O31" s="22">
        <f>IF(C31="+",D31,(D31*(-1)))</f>
        <v>0</v>
      </c>
      <c r="P31" s="137"/>
      <c r="Q31" s="137"/>
      <c r="R31" s="137"/>
    </row>
    <row r="32" spans="1:18" ht="15" customHeight="1" thickBot="1" x14ac:dyDescent="0.25">
      <c r="A32" s="172" t="s">
        <v>56</v>
      </c>
      <c r="B32" s="87"/>
      <c r="C32" s="25" t="s">
        <v>3</v>
      </c>
      <c r="D32" s="26"/>
      <c r="E32" s="173">
        <f>IF(C32="+",(B32+D32),(B32-D32))</f>
        <v>0</v>
      </c>
      <c r="F32" s="107"/>
      <c r="G32" s="107"/>
      <c r="H32" s="28" t="s">
        <v>148</v>
      </c>
      <c r="I32" s="30"/>
      <c r="J32" s="29"/>
      <c r="K32" s="29"/>
      <c r="L32" s="29"/>
      <c r="M32" s="21"/>
      <c r="N32" s="119"/>
      <c r="O32" s="22">
        <f>IF(C32="+",D32,(D32*(-1)))</f>
        <v>0</v>
      </c>
      <c r="P32" s="137"/>
      <c r="Q32" s="137"/>
      <c r="R32" s="137"/>
    </row>
    <row r="33" spans="1:18" ht="15" customHeight="1" x14ac:dyDescent="0.2">
      <c r="A33" s="166" t="s">
        <v>55</v>
      </c>
      <c r="B33" s="174">
        <f ca="1">K25+EB.Frei_Tage</f>
        <v>0</v>
      </c>
      <c r="C33" s="86" t="s">
        <v>3</v>
      </c>
      <c r="D33" s="89"/>
      <c r="E33" s="152">
        <f ca="1">IF(C33="+",(B33+D33),(B33-D33))</f>
        <v>0</v>
      </c>
      <c r="F33" s="107"/>
      <c r="G33" s="107"/>
      <c r="H33" s="28" t="s">
        <v>149</v>
      </c>
      <c r="I33" s="30"/>
      <c r="J33" s="29"/>
      <c r="K33" s="29"/>
      <c r="L33" s="29"/>
      <c r="M33" s="21"/>
      <c r="N33" s="119"/>
      <c r="O33" s="22">
        <f>IF(C33="+",D33,(D33*(-1)))</f>
        <v>0</v>
      </c>
      <c r="P33" s="137"/>
      <c r="Q33" s="137"/>
      <c r="R33" s="137"/>
    </row>
    <row r="34" spans="1:18" ht="15" customHeight="1" thickBot="1" x14ac:dyDescent="0.25">
      <c r="A34" s="166" t="s">
        <v>58</v>
      </c>
      <c r="B34" s="88">
        <v>0</v>
      </c>
      <c r="C34" s="443"/>
      <c r="D34" s="443"/>
      <c r="E34" s="152">
        <f>J25*B34</f>
        <v>0</v>
      </c>
      <c r="F34" s="107"/>
      <c r="G34" s="107"/>
      <c r="H34" s="28" t="s">
        <v>150</v>
      </c>
      <c r="I34" s="30"/>
      <c r="J34" s="29"/>
      <c r="K34" s="29"/>
      <c r="L34" s="29"/>
      <c r="M34" s="21"/>
      <c r="N34" s="119"/>
      <c r="O34" s="136"/>
      <c r="P34" s="137"/>
      <c r="Q34" s="137"/>
      <c r="R34" s="137"/>
    </row>
    <row r="35" spans="1:18" ht="15" customHeight="1" x14ac:dyDescent="0.2">
      <c r="A35" s="166" t="s">
        <v>57</v>
      </c>
      <c r="B35" s="90">
        <f ca="1">L25</f>
        <v>5.25</v>
      </c>
      <c r="C35" s="444"/>
      <c r="D35" s="444"/>
      <c r="E35" s="175">
        <f ca="1">IF(C35="+",(B35+D35),(B35-D35))</f>
        <v>5.25</v>
      </c>
      <c r="F35" s="107"/>
      <c r="G35" s="107"/>
      <c r="H35" s="28" t="s">
        <v>151</v>
      </c>
      <c r="I35" s="30"/>
      <c r="J35" s="29"/>
      <c r="K35" s="29"/>
      <c r="L35" s="29"/>
      <c r="M35" s="21"/>
      <c r="N35" s="119"/>
      <c r="O35" s="136"/>
      <c r="P35" s="137"/>
      <c r="Q35" s="137"/>
      <c r="R35" s="137"/>
    </row>
    <row r="36" spans="1:18" ht="15" customHeight="1" x14ac:dyDescent="0.2">
      <c r="A36" s="166" t="s">
        <v>52</v>
      </c>
      <c r="B36" s="16">
        <f ca="1">I25</f>
        <v>88.07499999999996</v>
      </c>
      <c r="C36" s="445"/>
      <c r="D36" s="445"/>
      <c r="E36" s="152">
        <f ca="1">IF(C36="+",(B36+D36),(B36-D36))</f>
        <v>88.07499999999996</v>
      </c>
      <c r="F36" s="107"/>
      <c r="G36" s="107"/>
      <c r="H36" s="28" t="s">
        <v>152</v>
      </c>
      <c r="I36" s="30"/>
      <c r="J36" s="29"/>
      <c r="K36" s="29"/>
      <c r="L36" s="29"/>
      <c r="M36" s="21"/>
      <c r="N36" s="119"/>
      <c r="O36" s="126"/>
      <c r="P36" s="137"/>
      <c r="Q36" s="137"/>
      <c r="R36" s="137"/>
    </row>
    <row r="37" spans="1:18" ht="15" customHeight="1" x14ac:dyDescent="0.2">
      <c r="A37" s="176"/>
      <c r="B37" s="176"/>
      <c r="C37" s="176"/>
      <c r="D37" s="176"/>
      <c r="E37" s="176"/>
      <c r="F37" s="107"/>
      <c r="G37" s="107"/>
      <c r="H37" s="28" t="s">
        <v>153</v>
      </c>
      <c r="I37" s="30"/>
      <c r="J37" s="29"/>
      <c r="K37" s="29"/>
      <c r="L37" s="29"/>
      <c r="M37" s="21"/>
      <c r="N37" s="119"/>
      <c r="O37" s="136"/>
      <c r="P37" s="126"/>
      <c r="Q37" s="126"/>
      <c r="R37" s="126"/>
    </row>
    <row r="38" spans="1:18" ht="15.75" customHeight="1" x14ac:dyDescent="0.25">
      <c r="A38" s="158" t="s">
        <v>259</v>
      </c>
      <c r="B38" s="136"/>
      <c r="C38" s="176"/>
      <c r="D38" s="176"/>
      <c r="E38" s="176"/>
      <c r="F38" s="107"/>
      <c r="G38" s="107"/>
      <c r="H38" s="28" t="s">
        <v>154</v>
      </c>
      <c r="I38" s="30"/>
      <c r="J38" s="29"/>
      <c r="K38" s="29"/>
      <c r="L38" s="29"/>
      <c r="M38" s="21"/>
      <c r="N38" s="119"/>
      <c r="O38" s="136"/>
      <c r="P38" s="137"/>
      <c r="Q38" s="137"/>
      <c r="R38" s="137"/>
    </row>
    <row r="39" spans="1:18" ht="15" customHeight="1" x14ac:dyDescent="0.2">
      <c r="A39" s="166" t="s">
        <v>59</v>
      </c>
      <c r="B39" s="177">
        <f>INDEX(EB.DurchSollTAZStd.Bereich,IF(EB.UJEintritt&lt;&gt;"",MONTH(EB.UJEintritt),1))</f>
        <v>0.35</v>
      </c>
      <c r="C39" s="176"/>
      <c r="D39" s="176"/>
      <c r="E39" s="176"/>
      <c r="F39" s="107"/>
      <c r="G39" s="107"/>
      <c r="H39" s="28" t="s">
        <v>155</v>
      </c>
      <c r="I39" s="30"/>
      <c r="J39" s="29"/>
      <c r="K39" s="29"/>
      <c r="L39" s="29"/>
      <c r="M39" s="21"/>
      <c r="N39" s="119"/>
      <c r="O39" s="136"/>
      <c r="P39" s="137"/>
      <c r="Q39" s="137"/>
      <c r="R39" s="137"/>
    </row>
    <row r="40" spans="1:18" ht="15" customHeight="1" x14ac:dyDescent="0.2">
      <c r="A40" s="166" t="s">
        <v>60</v>
      </c>
      <c r="B40" s="177">
        <f>INDEX(EB.DurchSollTAZStd.Bereich,IF(EB.UJEintritt&lt;&gt;"",MONTH(EB.UJEintritt),1))</f>
        <v>0.35</v>
      </c>
      <c r="C40" s="176"/>
      <c r="D40" s="176"/>
      <c r="E40" s="176"/>
      <c r="F40" s="107"/>
      <c r="G40" s="107"/>
      <c r="H40" s="28" t="s">
        <v>156</v>
      </c>
      <c r="I40" s="30"/>
      <c r="J40" s="29"/>
      <c r="K40" s="29"/>
      <c r="L40" s="29"/>
      <c r="M40" s="21"/>
      <c r="N40" s="119"/>
      <c r="O40" s="136"/>
      <c r="P40" s="137"/>
      <c r="Q40" s="137"/>
      <c r="R40" s="137"/>
    </row>
    <row r="41" spans="1:18" ht="15" customHeight="1" x14ac:dyDescent="0.2">
      <c r="A41" s="166" t="s">
        <v>61</v>
      </c>
      <c r="B41" s="177">
        <f>INDEX(EB.DurchSollTAZStd.Bereich,IF(EB.UJEintritt&lt;&gt;"",MONTH(EB.UJEintritt),1))</f>
        <v>0.35</v>
      </c>
      <c r="C41" s="176"/>
      <c r="D41" s="176"/>
      <c r="E41" s="176"/>
      <c r="F41" s="107"/>
      <c r="G41" s="107"/>
      <c r="H41" s="28" t="s">
        <v>157</v>
      </c>
      <c r="I41" s="30"/>
      <c r="J41" s="29"/>
      <c r="K41" s="29"/>
      <c r="L41" s="29"/>
      <c r="M41" s="21"/>
      <c r="N41" s="119"/>
      <c r="O41" s="136"/>
      <c r="P41" s="137"/>
      <c r="Q41" s="137"/>
      <c r="R41" s="137"/>
    </row>
    <row r="42" spans="1:18" ht="15" customHeight="1" x14ac:dyDescent="0.2">
      <c r="A42" s="166" t="s">
        <v>62</v>
      </c>
      <c r="B42" s="177">
        <f>INDEX(EB.DurchSollTAZStd.Bereich,IF(EB.UJEintritt&lt;&gt;"",MONTH(EB.UJEintritt),1))</f>
        <v>0.35</v>
      </c>
      <c r="C42" s="176"/>
      <c r="D42" s="176"/>
      <c r="E42" s="176"/>
      <c r="F42" s="107"/>
      <c r="G42" s="107"/>
      <c r="H42" s="28" t="s">
        <v>158</v>
      </c>
      <c r="I42" s="30"/>
      <c r="J42" s="29"/>
      <c r="K42" s="29"/>
      <c r="L42" s="29"/>
      <c r="M42" s="21"/>
      <c r="N42" s="119"/>
      <c r="O42" s="136"/>
      <c r="P42" s="137"/>
      <c r="Q42" s="137"/>
      <c r="R42" s="137"/>
    </row>
    <row r="43" spans="1:18" ht="15" customHeight="1" x14ac:dyDescent="0.2">
      <c r="A43" s="166" t="s">
        <v>63</v>
      </c>
      <c r="B43" s="177">
        <f>INDEX(EB.DurchSollTAZStd.Bereich,IF(EB.UJEintritt&lt;&gt;"",MONTH(EB.UJEintritt),1))</f>
        <v>0.35</v>
      </c>
      <c r="C43" s="176"/>
      <c r="D43" s="176"/>
      <c r="E43" s="176"/>
      <c r="F43" s="107"/>
      <c r="G43" s="107"/>
      <c r="H43" s="28" t="s">
        <v>159</v>
      </c>
      <c r="I43" s="30"/>
      <c r="J43" s="29"/>
      <c r="K43" s="29"/>
      <c r="L43" s="29"/>
      <c r="M43" s="21"/>
      <c r="N43" s="119"/>
      <c r="O43" s="136"/>
      <c r="P43" s="137"/>
      <c r="Q43" s="137"/>
      <c r="R43" s="137"/>
    </row>
    <row r="44" spans="1:18" ht="15" customHeight="1" x14ac:dyDescent="0.2">
      <c r="A44" s="166" t="s">
        <v>64</v>
      </c>
      <c r="B44" s="177"/>
      <c r="C44" s="176"/>
      <c r="D44" s="176"/>
      <c r="E44" s="176"/>
      <c r="F44" s="107"/>
      <c r="G44" s="107"/>
      <c r="H44" s="28" t="s">
        <v>160</v>
      </c>
      <c r="I44" s="30"/>
      <c r="J44" s="29"/>
      <c r="K44" s="29"/>
      <c r="L44" s="29"/>
      <c r="M44" s="21"/>
      <c r="N44" s="119"/>
      <c r="O44" s="136"/>
      <c r="P44" s="137"/>
      <c r="Q44" s="137"/>
      <c r="R44" s="137"/>
    </row>
    <row r="45" spans="1:18" ht="15" customHeight="1" x14ac:dyDescent="0.2">
      <c r="A45" s="166" t="s">
        <v>65</v>
      </c>
      <c r="B45" s="177"/>
      <c r="C45" s="176"/>
      <c r="D45" s="176"/>
      <c r="E45" s="176"/>
      <c r="F45" s="107"/>
      <c r="G45" s="107"/>
      <c r="H45" s="28" t="s">
        <v>161</v>
      </c>
      <c r="I45" s="30"/>
      <c r="J45" s="29"/>
      <c r="K45" s="29"/>
      <c r="L45" s="29"/>
      <c r="M45" s="21"/>
      <c r="N45" s="119"/>
      <c r="O45" s="126"/>
      <c r="P45" s="137"/>
      <c r="Q45" s="137"/>
      <c r="R45" s="137"/>
    </row>
    <row r="46" spans="1:18" ht="11.25" customHeight="1" x14ac:dyDescent="0.2">
      <c r="A46" s="176"/>
      <c r="B46" s="176"/>
      <c r="C46" s="176"/>
      <c r="D46" s="176"/>
      <c r="E46" s="176"/>
      <c r="F46" s="107"/>
      <c r="G46" s="107"/>
      <c r="H46" s="107"/>
      <c r="I46" s="107"/>
      <c r="J46" s="107"/>
      <c r="K46" s="107"/>
      <c r="L46" s="107"/>
      <c r="M46" s="107"/>
      <c r="N46" s="107"/>
      <c r="O46" s="126"/>
      <c r="P46" s="126"/>
      <c r="Q46" s="126"/>
      <c r="R46" s="126"/>
    </row>
    <row r="47" spans="1:18" ht="11.25" customHeight="1" x14ac:dyDescent="0.2">
      <c r="A47" s="107"/>
      <c r="B47" s="107"/>
      <c r="C47" s="107"/>
      <c r="D47" s="107"/>
      <c r="E47" s="107"/>
      <c r="F47" s="107"/>
      <c r="G47" s="107"/>
      <c r="H47" s="107"/>
      <c r="I47" s="107"/>
      <c r="J47" s="107"/>
      <c r="K47" s="107"/>
      <c r="L47" s="107"/>
      <c r="M47" s="107"/>
      <c r="N47" s="107"/>
      <c r="O47" s="126"/>
      <c r="P47" s="126"/>
      <c r="Q47" s="126"/>
      <c r="R47" s="126"/>
    </row>
    <row r="48" spans="1:18" x14ac:dyDescent="0.2">
      <c r="A48" s="60" t="s">
        <v>115</v>
      </c>
      <c r="B48" s="32" t="s">
        <v>10</v>
      </c>
      <c r="D48" s="178"/>
    </row>
    <row r="49" spans="1:11" x14ac:dyDescent="0.2">
      <c r="A49" s="60"/>
      <c r="B49" s="32" t="s">
        <v>257</v>
      </c>
      <c r="D49" s="178"/>
      <c r="H49" s="178"/>
      <c r="I49" s="179"/>
      <c r="J49" s="180"/>
      <c r="K49" s="180"/>
    </row>
    <row r="50" spans="1:11" x14ac:dyDescent="0.2">
      <c r="A50" s="60"/>
      <c r="B50" s="32" t="s">
        <v>258</v>
      </c>
      <c r="D50" s="178"/>
      <c r="H50" s="178"/>
      <c r="J50" s="180"/>
      <c r="K50" s="180"/>
    </row>
    <row r="51" spans="1:11" x14ac:dyDescent="0.2">
      <c r="A51" s="60"/>
      <c r="B51" s="34" t="s">
        <v>11</v>
      </c>
      <c r="D51" s="178"/>
      <c r="J51" s="180"/>
      <c r="K51" s="180"/>
    </row>
    <row r="52" spans="1:11" x14ac:dyDescent="0.2">
      <c r="A52" s="61"/>
      <c r="J52" s="180"/>
      <c r="K52" s="180"/>
    </row>
    <row r="53" spans="1:11" x14ac:dyDescent="0.2">
      <c r="A53" s="60" t="s">
        <v>116</v>
      </c>
      <c r="B53" s="35" t="s">
        <v>265</v>
      </c>
      <c r="J53" s="180"/>
      <c r="K53" s="180"/>
    </row>
    <row r="54" spans="1:11" x14ac:dyDescent="0.2">
      <c r="A54" s="178"/>
      <c r="J54" s="180"/>
      <c r="K54" s="180"/>
    </row>
    <row r="55" spans="1:11" x14ac:dyDescent="0.2">
      <c r="A55" s="178"/>
      <c r="J55" s="180"/>
      <c r="K55" s="180"/>
    </row>
    <row r="56" spans="1:11" x14ac:dyDescent="0.2">
      <c r="J56" s="180"/>
      <c r="K56" s="180"/>
    </row>
    <row r="57" spans="1:11" x14ac:dyDescent="0.2">
      <c r="J57" s="180"/>
      <c r="K57" s="180"/>
    </row>
    <row r="58" spans="1:11" x14ac:dyDescent="0.2">
      <c r="J58" s="180"/>
      <c r="K58" s="180"/>
    </row>
  </sheetData>
  <sheetProtection sheet="1" objects="1" scenarios="1"/>
  <mergeCells count="24">
    <mergeCell ref="O2:R2"/>
    <mergeCell ref="O3:Q3"/>
    <mergeCell ref="O4:O6"/>
    <mergeCell ref="J7:K7"/>
    <mergeCell ref="I2:L2"/>
    <mergeCell ref="I3:L3"/>
    <mergeCell ref="I4:L4"/>
    <mergeCell ref="I5:L5"/>
    <mergeCell ref="B2:F2"/>
    <mergeCell ref="B1:E1"/>
    <mergeCell ref="C12:D12"/>
    <mergeCell ref="C4:E4"/>
    <mergeCell ref="C6:E6"/>
    <mergeCell ref="C34:D36"/>
    <mergeCell ref="B29:B31"/>
    <mergeCell ref="J29:M29"/>
    <mergeCell ref="H28:M28"/>
    <mergeCell ref="B3:F3"/>
    <mergeCell ref="H27:K27"/>
    <mergeCell ref="C28:D28"/>
    <mergeCell ref="J6:K6"/>
    <mergeCell ref="C5:D5"/>
    <mergeCell ref="C7:D7"/>
    <mergeCell ref="E7:F7"/>
  </mergeCells>
  <phoneticPr fontId="5" type="noConversion"/>
  <conditionalFormatting sqref="H31:H45">
    <cfRule type="expression" dxfId="308" priority="9">
      <formula>AND(OR($H31="Projekt 1",$H31="Projekt 2",$H31="Projekt 3",$H31="Projekt 4",$H31="Projekt 5",$H31="Projekt 6",$H31="Projekt 7",$H31="Projekt 8",$H31="Projekt 9",$H31="Projekt 10",$H31="Projekt 11",$H31="Projekt 12",$H31="Projekt 13",$H31="Projekt 14",$H31="Projekt 15"),ROW($H31)-ROW($H$31)+1&lt;=EB.AnzProjekte)</formula>
    </cfRule>
  </conditionalFormatting>
  <conditionalFormatting sqref="D29">
    <cfRule type="expression" dxfId="307" priority="5">
      <formula>AND($I$7=1/24*50,$D$29&lt;&gt;"")</formula>
    </cfRule>
  </conditionalFormatting>
  <conditionalFormatting sqref="D31">
    <cfRule type="expression" dxfId="306" priority="4">
      <formula>AND(T.50_Vetsuisse=FALSE,$D$31&lt;&gt;"")</formula>
    </cfRule>
  </conditionalFormatting>
  <conditionalFormatting sqref="F5">
    <cfRule type="expression" dxfId="305" priority="6">
      <formula>$E$5=INDEX(T.JaNein.Bereich,1,1)</formula>
    </cfRule>
    <cfRule type="expression" dxfId="304" priority="8">
      <formula>EB.LKgr16ab&lt;EB.UJEintritt</formula>
    </cfRule>
  </conditionalFormatting>
  <conditionalFormatting sqref="L6">
    <cfRule type="expression" dxfId="303" priority="16">
      <formula>AND(OR(T.50_Vetsuisse,AND(EB.LKgr16=INDEX(T.JaNein.Bereich,1,1),EB.LKgr16ab=MAX(DATE(EB.Jahr,1,1),EB.UJEintritt))),$L$6=INDEX(T.JaNein.Bereich,1,1))</formula>
    </cfRule>
  </conditionalFormatting>
  <conditionalFormatting sqref="E5">
    <cfRule type="expression" dxfId="302" priority="1">
      <formula>$E$5="Ja"</formula>
    </cfRule>
    <cfRule type="expression" dxfId="301" priority="2">
      <formula>$E$5="Yes"</formula>
    </cfRule>
  </conditionalFormatting>
  <dataValidations xWindow="400" yWindow="583" count="16">
    <dataValidation type="list" allowBlank="1" showInputMessage="1" showErrorMessage="1" errorTitle="Days off according to contract" error="Please choose a value from the drop-down list." sqref="B34" xr:uid="{50B144CC-ED51-47A8-9D81-0F4D9A8BD9C2}">
      <formula1>T.Frei_Tage.Bereich</formula1>
    </dataValidation>
    <dataValidation type="list" allowBlank="1" showInputMessage="1" showErrorMessage="1" errorTitle="Project type" error="Please choose a value from the drop-down list." sqref="I31:I45" xr:uid="{9F7FE45C-AB49-4DD0-B718-DD096D113529}">
      <formula1>T.Projektart.Bereich</formula1>
    </dataValidation>
    <dataValidation type="date" allowBlank="1" showInputMessage="1" showErrorMessage="1" errorTitle="Termination Date during the Year" error="Please indicaet a valid termination date of the tracking year." promptTitle="Termination Date during the Year" prompt="If you terminate this year please indicate your termination date (e.g. 31.03.2016)._x000a__x000a_LibreOffice english version: Enter the date in the format MM/DD/YYYY_x000a__x000a_Mac english version: Enter the date in the format DD/MM/YYYY" sqref="F6" xr:uid="{E211D96A-BD80-4809-BCA7-17EDC1149A97}">
      <formula1>DATE(EB.Jahr,1,1)</formula1>
      <formula2>DATE(EB.Jahr,12,31)</formula2>
    </dataValidation>
    <dataValidation type="date" allowBlank="1" showInputMessage="1" showErrorMessage="1" errorTitle="Date of Birth" error="Please indicate your date of birth (e.g. 20.05.1975)._x000a__x000a_The year of birth will automatically be transferred to cell &quot;year of birth&quot;." promptTitle="Date of Birth" prompt="Indicate your date of birth (e.g. 20.05.1975)_x000a__x000a_The year of birth will automatically be transferred to cell &quot;year of birth&quot;._x000a__x000a_LibreOffice english version: Enter the date in the format MM/DD/YYYY_x000a__x000a_Mac english version: Enter the date in the format DD/MM/YYYY" sqref="B4" xr:uid="{076D56BC-4E4A-4A95-AF61-479FEA0A142B}">
      <formula1>2192</formula1>
      <formula2>2957003</formula2>
    </dataValidation>
    <dataValidation type="custom" errorStyle="information" showInputMessage="1" showErrorMessage="1" errorTitle="Employee Number" error="Numbers only allowed._x000a_Employee number consists of 8 digits._x000a__x000a_e.g.: 01234567, 12345678, 00012345" promptTitle="Employee Number" prompt="Numbers only allowed._x000a_The employee number consists of 8 digits (e.g. 01234567, 12345678, 00012345)" sqref="B5" xr:uid="{0E484E15-2339-4016-9723-FB477358B532}">
      <formula1>AND(ISNUMBER(VALUE(B5)),LEN(B5)=8)</formula1>
    </dataValidation>
    <dataValidation type="date" allowBlank="1" showInputMessage="1" showErrorMessage="1" errorTitle="Entry Date during the Year" error="Please indicate a valid entry date of the tracking year." promptTitle="Entry Date during the Year" prompt="If you entered this year please indicate your entry date (e.g. 15.03.2016)._x000a__x000a_LibreOffice english version: Enter the date in the format MM/DD/YYYY_x000a__x000a_Mac english version: Enter the date in the format DD/MM/YYYY" sqref="B6" xr:uid="{C8DEC5BC-E684-4EFE-B2BF-432ADAE575CD}">
      <formula1>DATE(EB.Jahr,1,1)</formula1>
      <formula2>DATE(EB.Jahr,12,31)</formula2>
    </dataValidation>
    <dataValidation type="list" allowBlank="1" showInputMessage="1" showErrorMessage="1" errorTitle="Faculty" error="Please choose a value from the drop-down list." sqref="I4:L4" xr:uid="{3EB31ACC-6D34-4CD0-B1BA-D1B382F0C49E}">
      <formula1>T.Fakultaet.Bereich</formula1>
    </dataValidation>
    <dataValidation type="list" allowBlank="1" showInputMessage="1" showErrorMessage="1" errorTitle="Employee Category" error="Please choose a value from the drop-down list." sqref="I5:L5" xr:uid="{09666BB6-F90E-4C65-95D5-0B45E5480124}">
      <formula1>T.Personalkategorie.Bereich</formula1>
    </dataValidation>
    <dataValidation type="list" allowBlank="1" showInputMessage="1" showErrorMessage="1" errorTitle="Apprentice" error="Please choose a value from the drop-down list." sqref="I6" xr:uid="{306EEDF8-80B6-450F-B3F6-C30B5C110828}">
      <formula1>T.JaNein.Bereich</formula1>
    </dataValidation>
    <dataValidation type="list" allowBlank="1" showInputMessage="1" showErrorMessage="1" errorTitle="Weekly Working Hours" error="Please choose a value from the drop-down list." sqref="I7" xr:uid="{FBD0E00D-E484-4020-BB79-9D6734093F51}">
      <formula1>T.Wochenarbeitszeit.Bereich</formula1>
    </dataValidation>
    <dataValidation type="decimal" allowBlank="1" showInputMessage="1" showErrorMessage="1" errorTitle="FTE" error="Please enter a number between 0 and 100." sqref="H13:H24 L7" xr:uid="{CEB06BFE-B437-41D4-884A-F076BB0BBB7A}">
      <formula1>0</formula1>
      <formula2>100</formula2>
    </dataValidation>
    <dataValidation type="decimal" allowBlank="1" showInputMessage="1" showErrorMessage="1" errorTitle="FTE acc. to employment contract" error="Please enter a number between 0 and 100." sqref="M31:M45" xr:uid="{A955EB63-03FB-480A-8DFC-0C594A290E55}">
      <formula1>0</formula1>
      <formula2>100</formula2>
    </dataValidation>
    <dataValidation type="list" allowBlank="1" showInputMessage="1" showErrorMessage="1" errorTitle="Supplement on Overtime entitled" error="Please choose a value from the drop-down list." promptTitle="Supplement on Overtime entitled" prompt="The value &quot;Yes&quot; is not valid for_x000a__x000a_- Vetsuisse employees with weekly working hours 50_x000a_- Employees having a wage group &gt; 16 already on the 1st January of the year. For changes of wage group to &gt; 16 during the year, the value can be left at &quot;Yes&quot;." sqref="L6" xr:uid="{3A82707F-B0FB-42F8-98FC-1167C4FFE276}">
      <formula1>T.JaNein.Bereich</formula1>
    </dataValidation>
    <dataValidation type="list" allowBlank="1" showInputMessage="1" showErrorMessage="1" errorTitle="Wage Group &gt; 16" error="Please choose a value from the drop-down list." sqref="E5" xr:uid="{6FF9EB35-C589-43A4-B9BD-77AFC6B0AB07}">
      <formula1>T.JaNein.Bereich</formula1>
    </dataValidation>
    <dataValidation type="date" allowBlank="1" showInputMessage="1" showErrorMessage="1" errorTitle="Lohnklasse &gt; 16 ab" error="Bitte geben Sie ein gültiges Datum ein, das im Jahr der Arbeitszeittabelle liegt." promptTitle="Wage Group &gt; 16 from" prompt="If your wage group changes to &gt; 16 after the 1st January of this year, please enter the from date (e.g. 01.02.2018)._x000a__x000a_LibreOffice english version: Enter the date in the format MM/DD/YYYY_x000a__x000a_Mac english version: Enter the date in the format DD/MM/YYYY" sqref="F5" xr:uid="{817BAD00-235E-40AC-B397-4E14E76C8A1E}">
      <formula1>DATE(EB.Jahr,1,1)</formula1>
      <formula2>DATE(EB.Jahr,12,31)</formula2>
    </dataValidation>
    <dataValidation type="list" allowBlank="1" showErrorMessage="1" errorTitle="More Information" error="Please choose a value from the drop-down list." sqref="E7:F7" xr:uid="{0E237CE8-3771-4AF2-A812-20F15924CB0A}">
      <formula1>T.WeitereAngaben.Bereich</formula1>
    </dataValidation>
  </dataValidations>
  <printOptions horizontalCentered="1"/>
  <pageMargins left="0.19685039370078741" right="0.19685039370078741" top="0.39370078740157483" bottom="0.39370078740157483" header="0.31496062992125984" footer="0.19685039370078741"/>
  <pageSetup paperSize="9" scale="64" orientation="landscape" blackAndWhite="1" horizontalDpi="4294967292" verticalDpi="4294967292" r:id="rId1"/>
  <headerFooter alignWithMargins="0">
    <oddFooter>&amp;L&amp;"Arial,Standard"&amp;11&amp;A&amp;C&amp;"Arial,Standard"&amp;11&amp;D&amp;R&amp;"Arial,Standard"&amp;11&amp;P / &amp;N</oddFooter>
  </headerFooter>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5DC60-677F-4CF4-B07C-D86245D5E7CD}">
  <sheetPr>
    <pageSetUpPr fitToPage="1"/>
  </sheetPr>
  <dimension ref="A1:AP140"/>
  <sheetViews>
    <sheetView showGridLines="0" zoomScale="85" zoomScaleNormal="85" zoomScalePageLayoutView="85" workbookViewId="0">
      <pane xSplit="1" ySplit="10" topLeftCell="B11" activePane="bottomRight" state="frozenSplit"/>
      <selection activeCell="Q8" sqref="Q8:AF11"/>
      <selection pane="topRight" activeCell="Q8" sqref="Q8:AF11"/>
      <selection pane="bottomLeft" activeCell="Q8" sqref="Q8:AF11"/>
      <selection pane="bottomRight" activeCell="B13" sqref="B13"/>
    </sheetView>
  </sheetViews>
  <sheetFormatPr baseColWidth="10" defaultColWidth="10.75" defaultRowHeight="12.75" outlineLevelRow="1" outlineLevelCol="1" x14ac:dyDescent="0.2"/>
  <cols>
    <col min="1" max="1" width="24.5" style="50" customWidth="1"/>
    <col min="2" max="31" width="5.75" style="50" customWidth="1"/>
    <col min="32" max="32" width="24.5" style="52" customWidth="1"/>
    <col min="33" max="33" width="2.125" style="53" customWidth="1"/>
    <col min="34" max="35" width="8.125" style="50" customWidth="1"/>
    <col min="36" max="36" width="15.875" style="50" hidden="1" customWidth="1" outlineLevel="1"/>
    <col min="37" max="38" width="14.25" style="50" hidden="1" customWidth="1" outlineLevel="1"/>
    <col min="39" max="39" width="9.375" style="37" customWidth="1" collapsed="1"/>
    <col min="40" max="41" width="8.125" style="50" customWidth="1"/>
    <col min="42" max="42" width="3.75" style="50" customWidth="1"/>
    <col min="43" max="16384" width="10.75" style="50"/>
  </cols>
  <sheetData>
    <row r="1" spans="1:42" s="54" customFormat="1" ht="22.5" customHeight="1" x14ac:dyDescent="0.2">
      <c r="A1" s="181" t="str">
        <f>INDEX(EB.Monate.Bereich,MONTH(Monat.Tag1)) &amp; " " &amp; EB.Jahr</f>
        <v>September 2020</v>
      </c>
      <c r="B1" s="470" t="str">
        <f>Eingabeblatt!B1</f>
        <v>Employee Time Sheet</v>
      </c>
      <c r="C1" s="470"/>
      <c r="D1" s="470"/>
      <c r="E1" s="470"/>
      <c r="F1" s="470"/>
      <c r="G1" s="470"/>
      <c r="H1" s="470"/>
      <c r="I1" s="470"/>
      <c r="J1" s="470"/>
      <c r="K1" s="470"/>
      <c r="L1" s="470"/>
      <c r="M1" s="101"/>
      <c r="N1" s="101"/>
      <c r="O1" s="101"/>
      <c r="P1" s="101"/>
      <c r="Q1" s="101"/>
      <c r="R1" s="182"/>
      <c r="S1" s="101"/>
      <c r="T1" s="101"/>
      <c r="U1" s="101"/>
      <c r="V1" s="183"/>
      <c r="W1" s="183"/>
      <c r="X1" s="101"/>
      <c r="Y1" s="182"/>
      <c r="Z1" s="101"/>
      <c r="AA1" s="101"/>
      <c r="AB1" s="101"/>
      <c r="AC1" s="101"/>
      <c r="AD1" s="101"/>
      <c r="AE1" s="101"/>
      <c r="AF1" s="184"/>
      <c r="AG1" s="185"/>
      <c r="AH1" s="101"/>
      <c r="AI1" s="101"/>
      <c r="AJ1" s="101"/>
      <c r="AK1" s="101"/>
      <c r="AL1" s="101"/>
      <c r="AM1" s="440"/>
      <c r="AN1" s="498" t="str">
        <f>EB.Version</f>
        <v>Version 12.19</v>
      </c>
      <c r="AO1" s="498"/>
      <c r="AP1" s="103" t="str">
        <f>EB.Sprache</f>
        <v>EN</v>
      </c>
    </row>
    <row r="2" spans="1:42" s="38" customFormat="1" ht="15" customHeight="1" x14ac:dyDescent="0.2">
      <c r="A2" s="135"/>
      <c r="B2" s="461" t="str">
        <f>Eingabeblatt!A3</f>
        <v>Name</v>
      </c>
      <c r="C2" s="474"/>
      <c r="D2" s="474"/>
      <c r="E2" s="462"/>
      <c r="F2" s="499" t="str">
        <f>IF(EB.Name="","?",EB.Name)</f>
        <v>?</v>
      </c>
      <c r="G2" s="500"/>
      <c r="H2" s="500"/>
      <c r="I2" s="500"/>
      <c r="J2" s="500"/>
      <c r="K2" s="500"/>
      <c r="L2" s="500"/>
      <c r="M2" s="500"/>
      <c r="N2" s="501"/>
      <c r="O2" s="186"/>
      <c r="P2" s="461" t="str">
        <f>Eingabeblatt!J7</f>
        <v>Employment Level (FTE) in %</v>
      </c>
      <c r="Q2" s="474"/>
      <c r="R2" s="474"/>
      <c r="S2" s="474"/>
      <c r="T2" s="474"/>
      <c r="U2" s="462"/>
      <c r="V2" s="14">
        <f>IF(INDEX(EB.EffBG.Bereich,MONTH(Monat.Tag1))="","-     ",INDEX(EB.EffBG.Bereich,MONTH(Monat.Tag1)))</f>
        <v>100</v>
      </c>
      <c r="W2" s="187"/>
      <c r="X2" s="187"/>
      <c r="Y2" s="108"/>
      <c r="Z2" s="119"/>
      <c r="AA2" s="119"/>
      <c r="AB2" s="119"/>
      <c r="AC2" s="119"/>
      <c r="AD2" s="119"/>
      <c r="AE2" s="119"/>
      <c r="AF2" s="106"/>
      <c r="AG2" s="188"/>
      <c r="AH2" s="119"/>
      <c r="AI2" s="119"/>
      <c r="AJ2" s="119"/>
      <c r="AK2" s="119"/>
      <c r="AL2" s="119"/>
      <c r="AM2" s="189"/>
      <c r="AN2" s="119"/>
      <c r="AO2" s="119"/>
      <c r="AP2" s="119"/>
    </row>
    <row r="3" spans="1:42" s="38" customFormat="1" ht="15" customHeight="1" x14ac:dyDescent="0.2">
      <c r="A3" s="190"/>
      <c r="B3" s="461" t="str">
        <f>Eingabeblatt!H2</f>
        <v>Function</v>
      </c>
      <c r="C3" s="474"/>
      <c r="D3" s="474"/>
      <c r="E3" s="462"/>
      <c r="F3" s="483" t="str">
        <f>EB.Funktion</f>
        <v>Description of Function</v>
      </c>
      <c r="G3" s="484"/>
      <c r="H3" s="484"/>
      <c r="I3" s="484"/>
      <c r="J3" s="484"/>
      <c r="K3" s="484"/>
      <c r="L3" s="484"/>
      <c r="M3" s="484"/>
      <c r="N3" s="485"/>
      <c r="O3" s="106"/>
      <c r="P3" s="461" t="str">
        <f>Eingabeblatt!J12</f>
        <v>ø Hours per day at FTE</v>
      </c>
      <c r="Q3" s="474"/>
      <c r="R3" s="474"/>
      <c r="S3" s="474"/>
      <c r="T3" s="474"/>
      <c r="U3" s="462"/>
      <c r="V3" s="57">
        <f>IF(INDEX(EB.DurchSollTAZStd.Bereich,MONTH(Monat.Tag1))="","-     ",INDEX(EB.DurchSollTAZStd.Bereich,MONTH(Monat.Tag1)))</f>
        <v>0.35</v>
      </c>
      <c r="W3" s="191"/>
      <c r="X3" s="191"/>
      <c r="Y3" s="119"/>
      <c r="Z3" s="119"/>
      <c r="AA3" s="119"/>
      <c r="AB3" s="119"/>
      <c r="AC3" s="119"/>
      <c r="AD3" s="119"/>
      <c r="AE3" s="119"/>
      <c r="AF3" s="106"/>
      <c r="AG3" s="188"/>
      <c r="AH3" s="119"/>
      <c r="AI3" s="119"/>
      <c r="AJ3" s="119"/>
      <c r="AK3" s="119"/>
      <c r="AL3" s="119"/>
      <c r="AM3" s="189"/>
      <c r="AN3" s="119"/>
      <c r="AO3" s="119"/>
      <c r="AP3" s="119"/>
    </row>
    <row r="4" spans="1:42" s="38" customFormat="1" ht="15" customHeight="1" x14ac:dyDescent="0.2">
      <c r="A4" s="190"/>
      <c r="B4" s="461" t="str">
        <f>Eingabeblatt!H3</f>
        <v>Institute/Department</v>
      </c>
      <c r="C4" s="474"/>
      <c r="D4" s="474"/>
      <c r="E4" s="462"/>
      <c r="F4" s="483" t="str">
        <f>EB.Institut</f>
        <v>Institute/Department Name</v>
      </c>
      <c r="G4" s="484"/>
      <c r="H4" s="484"/>
      <c r="I4" s="484"/>
      <c r="J4" s="484"/>
      <c r="K4" s="484"/>
      <c r="L4" s="484"/>
      <c r="M4" s="484"/>
      <c r="N4" s="485"/>
      <c r="O4" s="106"/>
      <c r="P4" s="497" t="str">
        <f ca="1">IF(EB.ÜZZSBerechtigt=INDEX(T.JaNein.Bereich,1,1),IF(AND(OR(AND(EB.LKgr16=INDEX(T.JaNein.Bereich,1,1),EB.LKgr16ab&gt;EOMONTH(Monat.Tag1,0)),EB.LKgr16&lt;&gt;INDEX(T.JaNein.Bereich,1,1)),Monat.AZSoll.Total&gt;0),Eingabeblatt!J6,""),"")</f>
        <v/>
      </c>
      <c r="Q4" s="497"/>
      <c r="R4" s="497"/>
      <c r="S4" s="497"/>
      <c r="T4" s="497"/>
      <c r="U4" s="497"/>
      <c r="V4" s="192" t="str">
        <f ca="1">IF(P4&lt;&gt;"",EB.ÜZZSBerechtigt,"")</f>
        <v/>
      </c>
      <c r="W4" s="119"/>
      <c r="X4" s="119"/>
      <c r="Y4" s="119"/>
      <c r="Z4" s="119"/>
      <c r="AA4" s="119"/>
      <c r="AB4" s="119"/>
      <c r="AC4" s="119"/>
      <c r="AD4" s="119"/>
      <c r="AE4" s="119"/>
      <c r="AF4" s="106"/>
      <c r="AG4" s="188"/>
      <c r="AH4" s="119"/>
      <c r="AI4" s="119"/>
      <c r="AJ4" s="119"/>
      <c r="AK4" s="119"/>
      <c r="AL4" s="119"/>
      <c r="AM4" s="189"/>
      <c r="AN4" s="119"/>
      <c r="AO4" s="119"/>
      <c r="AP4" s="119"/>
    </row>
    <row r="5" spans="1:42" s="38" customFormat="1" ht="15" customHeight="1" x14ac:dyDescent="0.2">
      <c r="A5" s="190"/>
      <c r="B5" s="461" t="str">
        <f>Eingabeblatt!A5</f>
        <v>Employee Number</v>
      </c>
      <c r="C5" s="474"/>
      <c r="D5" s="474"/>
      <c r="E5" s="462"/>
      <c r="F5" s="483" t="str">
        <f>IF(EB.Personalnummer="","?",EB.Personalnummer)</f>
        <v>?</v>
      </c>
      <c r="G5" s="484"/>
      <c r="H5" s="484"/>
      <c r="I5" s="484"/>
      <c r="J5" s="484"/>
      <c r="K5" s="484"/>
      <c r="L5" s="484"/>
      <c r="M5" s="484"/>
      <c r="N5" s="485"/>
      <c r="O5" s="106"/>
      <c r="P5" s="110" t="str">
        <f>LEFT(Eingabeblatt!A38,SEARCH("(",Eingabeblatt!A38,1)-2) &amp; IF(MONTH(Monat.Tag1)&gt;1,IF(EB.Sprache="EN"," (changes as of "," (Veränderungen ab ") &amp; INDEX(EB.Monate.Bereich,MONTH(Monat.Tag1))  &amp; IF(EB.Sprache="EN"," have to be entered here)"," hier eintragen)"),"")</f>
        <v>Standard working hours (changes as of September have to be entered here)</v>
      </c>
      <c r="Q5" s="106"/>
      <c r="R5" s="119"/>
      <c r="S5" s="119"/>
      <c r="T5" s="119"/>
      <c r="U5" s="119"/>
      <c r="V5" s="119"/>
      <c r="W5" s="119"/>
      <c r="X5" s="119"/>
      <c r="Y5" s="119"/>
      <c r="Z5" s="119"/>
      <c r="AA5" s="119"/>
      <c r="AB5" s="119"/>
      <c r="AC5" s="119"/>
      <c r="AD5" s="119"/>
      <c r="AE5" s="119"/>
      <c r="AF5" s="106"/>
      <c r="AG5" s="188"/>
      <c r="AH5" s="119"/>
      <c r="AI5" s="119"/>
      <c r="AJ5" s="119"/>
      <c r="AK5" s="119"/>
      <c r="AL5" s="119"/>
      <c r="AM5" s="189"/>
      <c r="AN5" s="119"/>
      <c r="AO5" s="119"/>
      <c r="AP5" s="119"/>
    </row>
    <row r="6" spans="1:42" s="38" customFormat="1" ht="15" customHeight="1" x14ac:dyDescent="0.2">
      <c r="A6" s="190"/>
      <c r="B6" s="461" t="str">
        <f>Eingabeblatt!H4</f>
        <v>Faculty</v>
      </c>
      <c r="C6" s="474"/>
      <c r="D6" s="474"/>
      <c r="E6" s="462"/>
      <c r="F6" s="483" t="str">
        <f>EB.Fakultaet</f>
        <v>Select Faculty</v>
      </c>
      <c r="G6" s="484"/>
      <c r="H6" s="484"/>
      <c r="I6" s="484"/>
      <c r="J6" s="484"/>
      <c r="K6" s="484"/>
      <c r="L6" s="484"/>
      <c r="M6" s="484"/>
      <c r="N6" s="485"/>
      <c r="O6" s="106"/>
      <c r="P6" s="193" t="str">
        <f>LEFT(INDEX(EB.RAZ_Wochentage.Bereich,1),2)</f>
        <v>Mo</v>
      </c>
      <c r="Q6" s="193" t="str">
        <f>LEFT(INDEX(EB.RAZ_Wochentage.Bereich,2),2)</f>
        <v>Tu</v>
      </c>
      <c r="R6" s="193" t="str">
        <f>LEFT(INDEX(EB.RAZ_Wochentage.Bereich,3),2)</f>
        <v>We</v>
      </c>
      <c r="S6" s="193" t="str">
        <f>LEFT(INDEX(EB.RAZ_Wochentage.Bereich,4),2)</f>
        <v>Th</v>
      </c>
      <c r="T6" s="193" t="str">
        <f>LEFT(INDEX(EB.RAZ_Wochentage.Bereich,5),2)</f>
        <v>Fr</v>
      </c>
      <c r="U6" s="193" t="str">
        <f>LEFT(INDEX(EB.RAZ_Wochentage.Bereich,6),2)</f>
        <v>Sa</v>
      </c>
      <c r="V6" s="193" t="str">
        <f>LEFT(INDEX(EB.RAZ_Wochentage.Bereich,7),2)</f>
        <v>Su</v>
      </c>
      <c r="W6" s="119"/>
      <c r="X6" s="119"/>
      <c r="Y6" s="119"/>
      <c r="Z6" s="119"/>
      <c r="AA6" s="119"/>
      <c r="AB6" s="119"/>
      <c r="AC6" s="119"/>
      <c r="AD6" s="119"/>
      <c r="AE6" s="119"/>
      <c r="AF6" s="106"/>
      <c r="AG6" s="188"/>
      <c r="AH6" s="119"/>
      <c r="AI6" s="119"/>
      <c r="AJ6" s="119"/>
      <c r="AK6" s="119"/>
      <c r="AL6" s="119"/>
      <c r="AM6" s="189"/>
      <c r="AN6" s="119"/>
      <c r="AO6" s="119"/>
      <c r="AP6" s="119"/>
    </row>
    <row r="7" spans="1:42" s="38" customFormat="1" ht="15" customHeight="1" x14ac:dyDescent="0.2">
      <c r="A7" s="190"/>
      <c r="B7" s="461" t="str">
        <f>Eingabeblatt!H5</f>
        <v>Employee Category</v>
      </c>
      <c r="C7" s="474"/>
      <c r="D7" s="474"/>
      <c r="E7" s="462"/>
      <c r="F7" s="483" t="str">
        <f>EB.Personalkategorie</f>
        <v>Select Employee Category</v>
      </c>
      <c r="G7" s="484"/>
      <c r="H7" s="484"/>
      <c r="I7" s="484"/>
      <c r="J7" s="484"/>
      <c r="K7" s="484"/>
      <c r="L7" s="484"/>
      <c r="M7" s="484"/>
      <c r="N7" s="485"/>
      <c r="O7" s="106"/>
      <c r="P7" s="194">
        <f ca="1">IF(EB.Anwendung&lt;&gt;"",IF(MONTH(Monat.Tag1)=1,INDEX(EB.RAZ1_7.Bereich,1),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1)),"")</f>
        <v>0.35</v>
      </c>
      <c r="Q7" s="194">
        <f ca="1">IF(EB.Anwendung&lt;&gt;"",IF(MONTH(Monat.Tag1)=1,INDEX(EB.RAZ1_7.Bereich,2),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2)),"")</f>
        <v>0.35</v>
      </c>
      <c r="R7" s="194">
        <f ca="1">IF(EB.Anwendung&lt;&gt;"",IF(MONTH(Monat.Tag1)=1,INDEX(EB.RAZ1_7.Bereich,3),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3)),"")</f>
        <v>0.35</v>
      </c>
      <c r="S7" s="194">
        <f ca="1">IF(EB.Anwendung&lt;&gt;"",IF(MONTH(Monat.Tag1)=1,INDEX(EB.RAZ1_7.Bereich,4),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4)),"")</f>
        <v>0.35</v>
      </c>
      <c r="T7" s="194">
        <f ca="1">IF(EB.Anwendung&lt;&gt;"",IF(MONTH(Monat.Tag1)=1,INDEX(EB.RAZ1_7.Bereich,5),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5)),"")</f>
        <v>0.35</v>
      </c>
      <c r="U7" s="194">
        <f ca="1">IF(EB.Anwendung&lt;&gt;"",IF(MONTH(Monat.Tag1)=1,INDEX(EB.RAZ1_7.Bereich,6),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6)),"")</f>
        <v>0</v>
      </c>
      <c r="V7" s="194">
        <f ca="1">IF(EB.Anwendung&lt;&gt;"",IF(MONTH(Monat.Tag1)=1,INDEX(EB.RAZ1_7.Bereich,7),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7)),"")</f>
        <v>0</v>
      </c>
      <c r="W7" s="354">
        <f ca="1">SUM(Monat.RAZ1_7.Bereich)</f>
        <v>1.75</v>
      </c>
      <c r="X7" s="119"/>
      <c r="Y7" s="119"/>
      <c r="Z7" s="119"/>
      <c r="AA7" s="119"/>
      <c r="AB7" s="119"/>
      <c r="AC7" s="119"/>
      <c r="AD7" s="119"/>
      <c r="AE7" s="119"/>
      <c r="AF7" s="106"/>
      <c r="AG7" s="188"/>
      <c r="AH7" s="119"/>
      <c r="AI7" s="119"/>
      <c r="AJ7" s="119"/>
      <c r="AK7" s="119"/>
      <c r="AL7" s="119"/>
      <c r="AM7" s="189"/>
      <c r="AN7" s="119"/>
      <c r="AO7" s="119"/>
      <c r="AP7" s="119"/>
    </row>
    <row r="8" spans="1:42" s="38" customFormat="1" ht="11.25" customHeight="1" x14ac:dyDescent="0.2">
      <c r="A8" s="135"/>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06"/>
      <c r="AG8" s="188"/>
      <c r="AH8" s="119"/>
      <c r="AI8" s="119"/>
      <c r="AJ8" s="119"/>
      <c r="AK8" s="119"/>
      <c r="AL8" s="119"/>
      <c r="AM8" s="189"/>
      <c r="AN8" s="119"/>
      <c r="AO8" s="119"/>
      <c r="AP8" s="119"/>
    </row>
    <row r="9" spans="1:42" s="38" customFormat="1" ht="15" customHeight="1" x14ac:dyDescent="0.2">
      <c r="A9" s="135"/>
      <c r="B9" s="195" t="str">
        <f t="shared" ref="B9:AE9" si="0">INDEX(Monat.Wochentage.Bereich,1,WEEKDAY(B10,2))</f>
        <v>Tu</v>
      </c>
      <c r="C9" s="195" t="str">
        <f t="shared" si="0"/>
        <v>We</v>
      </c>
      <c r="D9" s="195" t="str">
        <f t="shared" si="0"/>
        <v>Th</v>
      </c>
      <c r="E9" s="195" t="str">
        <f t="shared" si="0"/>
        <v>Fr</v>
      </c>
      <c r="F9" s="195" t="str">
        <f t="shared" si="0"/>
        <v>Sa</v>
      </c>
      <c r="G9" s="195" t="str">
        <f t="shared" si="0"/>
        <v>Su</v>
      </c>
      <c r="H9" s="195" t="str">
        <f t="shared" si="0"/>
        <v>Mo</v>
      </c>
      <c r="I9" s="195" t="str">
        <f t="shared" si="0"/>
        <v>Tu</v>
      </c>
      <c r="J9" s="195" t="str">
        <f t="shared" si="0"/>
        <v>We</v>
      </c>
      <c r="K9" s="195" t="str">
        <f t="shared" si="0"/>
        <v>Th</v>
      </c>
      <c r="L9" s="195" t="str">
        <f t="shared" si="0"/>
        <v>Fr</v>
      </c>
      <c r="M9" s="195" t="str">
        <f t="shared" si="0"/>
        <v>Sa</v>
      </c>
      <c r="N9" s="195" t="str">
        <f t="shared" si="0"/>
        <v>Su</v>
      </c>
      <c r="O9" s="195" t="str">
        <f t="shared" si="0"/>
        <v>Mo</v>
      </c>
      <c r="P9" s="195" t="str">
        <f t="shared" si="0"/>
        <v>Tu</v>
      </c>
      <c r="Q9" s="195" t="str">
        <f t="shared" si="0"/>
        <v>We</v>
      </c>
      <c r="R9" s="195" t="str">
        <f t="shared" si="0"/>
        <v>Th</v>
      </c>
      <c r="S9" s="195" t="str">
        <f t="shared" si="0"/>
        <v>Fr</v>
      </c>
      <c r="T9" s="195" t="str">
        <f t="shared" si="0"/>
        <v>Sa</v>
      </c>
      <c r="U9" s="195" t="str">
        <f t="shared" si="0"/>
        <v>Su</v>
      </c>
      <c r="V9" s="195" t="str">
        <f t="shared" si="0"/>
        <v>Mo</v>
      </c>
      <c r="W9" s="195" t="str">
        <f t="shared" si="0"/>
        <v>Tu</v>
      </c>
      <c r="X9" s="195" t="str">
        <f t="shared" si="0"/>
        <v>We</v>
      </c>
      <c r="Y9" s="195" t="str">
        <f t="shared" si="0"/>
        <v>Th</v>
      </c>
      <c r="Z9" s="195" t="str">
        <f t="shared" si="0"/>
        <v>Fr</v>
      </c>
      <c r="AA9" s="195" t="str">
        <f t="shared" si="0"/>
        <v>Sa</v>
      </c>
      <c r="AB9" s="195" t="str">
        <f t="shared" si="0"/>
        <v>Su</v>
      </c>
      <c r="AC9" s="195" t="str">
        <f t="shared" si="0"/>
        <v>Mo</v>
      </c>
      <c r="AD9" s="195" t="str">
        <f t="shared" si="0"/>
        <v>Tu</v>
      </c>
      <c r="AE9" s="195" t="str">
        <f t="shared" si="0"/>
        <v>We</v>
      </c>
      <c r="AF9" s="106"/>
      <c r="AG9" s="188"/>
      <c r="AH9" s="119"/>
      <c r="AI9" s="119"/>
      <c r="AJ9" s="119"/>
      <c r="AK9" s="119"/>
      <c r="AL9" s="119"/>
      <c r="AM9" s="189"/>
      <c r="AN9" s="119"/>
      <c r="AO9" s="119"/>
      <c r="AP9" s="119"/>
    </row>
    <row r="10" spans="1:42" s="59" customFormat="1" ht="25.5" x14ac:dyDescent="0.2">
      <c r="A10" s="196" t="s">
        <v>73</v>
      </c>
      <c r="B10" s="197">
        <v>42613</v>
      </c>
      <c r="C10" s="197">
        <f>B10+1</f>
        <v>42614</v>
      </c>
      <c r="D10" s="197">
        <f t="shared" ref="D10:AE10" si="1">C10+1</f>
        <v>42615</v>
      </c>
      <c r="E10" s="197">
        <f t="shared" si="1"/>
        <v>42616</v>
      </c>
      <c r="F10" s="197">
        <f t="shared" si="1"/>
        <v>42617</v>
      </c>
      <c r="G10" s="197">
        <f t="shared" si="1"/>
        <v>42618</v>
      </c>
      <c r="H10" s="197">
        <f t="shared" si="1"/>
        <v>42619</v>
      </c>
      <c r="I10" s="197">
        <f t="shared" si="1"/>
        <v>42620</v>
      </c>
      <c r="J10" s="197">
        <f t="shared" si="1"/>
        <v>42621</v>
      </c>
      <c r="K10" s="197">
        <f t="shared" si="1"/>
        <v>42622</v>
      </c>
      <c r="L10" s="197">
        <f t="shared" si="1"/>
        <v>42623</v>
      </c>
      <c r="M10" s="197">
        <f t="shared" si="1"/>
        <v>42624</v>
      </c>
      <c r="N10" s="197">
        <f t="shared" si="1"/>
        <v>42625</v>
      </c>
      <c r="O10" s="197">
        <f t="shared" si="1"/>
        <v>42626</v>
      </c>
      <c r="P10" s="197">
        <f t="shared" si="1"/>
        <v>42627</v>
      </c>
      <c r="Q10" s="197">
        <f t="shared" si="1"/>
        <v>42628</v>
      </c>
      <c r="R10" s="197">
        <f t="shared" si="1"/>
        <v>42629</v>
      </c>
      <c r="S10" s="197">
        <f t="shared" si="1"/>
        <v>42630</v>
      </c>
      <c r="T10" s="197">
        <f t="shared" si="1"/>
        <v>42631</v>
      </c>
      <c r="U10" s="197">
        <f t="shared" si="1"/>
        <v>42632</v>
      </c>
      <c r="V10" s="197">
        <f t="shared" si="1"/>
        <v>42633</v>
      </c>
      <c r="W10" s="197">
        <f t="shared" si="1"/>
        <v>42634</v>
      </c>
      <c r="X10" s="197">
        <f t="shared" si="1"/>
        <v>42635</v>
      </c>
      <c r="Y10" s="197">
        <f t="shared" si="1"/>
        <v>42636</v>
      </c>
      <c r="Z10" s="197">
        <f t="shared" si="1"/>
        <v>42637</v>
      </c>
      <c r="AA10" s="197">
        <f t="shared" si="1"/>
        <v>42638</v>
      </c>
      <c r="AB10" s="197">
        <f t="shared" si="1"/>
        <v>42639</v>
      </c>
      <c r="AC10" s="197">
        <f t="shared" si="1"/>
        <v>42640</v>
      </c>
      <c r="AD10" s="197">
        <f t="shared" si="1"/>
        <v>42641</v>
      </c>
      <c r="AE10" s="197">
        <f t="shared" si="1"/>
        <v>42642</v>
      </c>
      <c r="AF10" s="198" t="str">
        <f>A10</f>
        <v>Day</v>
      </c>
      <c r="AG10" s="486" t="str">
        <f>"Total " &amp; INDEX(EB.Monate.Bereich,MONTH(Monat.Tag1))</f>
        <v>Total September</v>
      </c>
      <c r="AH10" s="487"/>
      <c r="AI10" s="441" t="s">
        <v>229</v>
      </c>
      <c r="AJ10" s="199" t="s">
        <v>121</v>
      </c>
      <c r="AK10" s="199" t="s">
        <v>122</v>
      </c>
      <c r="AL10" s="199" t="s">
        <v>230</v>
      </c>
      <c r="AM10" s="200" t="s">
        <v>123</v>
      </c>
      <c r="AN10" s="488" t="str">
        <f ca="1">IF(EB.Sprache="DE","Jahressaldo per" &amp; CHAR(10) &amp; "    ME       " &amp; IFERROR(TEXT(TODAY(),"[$-0007]"&amp;"TT.MM.JJ"),TEXT(TODAY(),"[$-0007]"&amp;"DD.MM.YY")),
"Yearly balance by" &amp; CHAR(10) &amp; "   eom      " &amp; IFERROR(TEXT(TODAY(),"[$-0809]"&amp;"DD.MM.YY"),TEXT(TODAY(),"[$-0809]"&amp;"TT.MM.JJ")))</f>
        <v>Yearly balance by
   eom      14.12.19</v>
      </c>
      <c r="AO10" s="489"/>
      <c r="AP10" s="201"/>
    </row>
    <row r="11" spans="1:42" s="59" customFormat="1" ht="12" hidden="1" customHeight="1" x14ac:dyDescent="0.2">
      <c r="A11" s="196" t="s">
        <v>163</v>
      </c>
      <c r="B11" s="202">
        <f t="shared" ref="B11:AE11" ca="1" si="2">IFERROR(OFFSET(T.Feiertage.Bereich,MATCH(B$10,T.Feiertage.Bereich,0)-1,1,1,1),1)</f>
        <v>1</v>
      </c>
      <c r="C11" s="202">
        <f t="shared" ca="1" si="2"/>
        <v>1</v>
      </c>
      <c r="D11" s="202">
        <f t="shared" ca="1" si="2"/>
        <v>1</v>
      </c>
      <c r="E11" s="203">
        <f t="shared" ca="1" si="2"/>
        <v>1</v>
      </c>
      <c r="F11" s="202">
        <f t="shared" ca="1" si="2"/>
        <v>1</v>
      </c>
      <c r="G11" s="202">
        <f t="shared" ca="1" si="2"/>
        <v>1</v>
      </c>
      <c r="H11" s="202">
        <f t="shared" ca="1" si="2"/>
        <v>1</v>
      </c>
      <c r="I11" s="202">
        <f t="shared" ca="1" si="2"/>
        <v>1</v>
      </c>
      <c r="J11" s="203">
        <f t="shared" ca="1" si="2"/>
        <v>1</v>
      </c>
      <c r="K11" s="202">
        <f t="shared" ca="1" si="2"/>
        <v>1</v>
      </c>
      <c r="L11" s="203">
        <f t="shared" ca="1" si="2"/>
        <v>1</v>
      </c>
      <c r="M11" s="202">
        <f t="shared" ca="1" si="2"/>
        <v>1</v>
      </c>
      <c r="N11" s="202">
        <f t="shared" ca="1" si="2"/>
        <v>1</v>
      </c>
      <c r="O11" s="202">
        <f t="shared" ca="1" si="2"/>
        <v>0.5</v>
      </c>
      <c r="P11" s="202">
        <f t="shared" ca="1" si="2"/>
        <v>1</v>
      </c>
      <c r="Q11" s="203">
        <f t="shared" ca="1" si="2"/>
        <v>1</v>
      </c>
      <c r="R11" s="202">
        <f t="shared" ca="1" si="2"/>
        <v>1</v>
      </c>
      <c r="S11" s="203">
        <f t="shared" ca="1" si="2"/>
        <v>1</v>
      </c>
      <c r="T11" s="203">
        <f t="shared" ca="1" si="2"/>
        <v>1</v>
      </c>
      <c r="U11" s="202">
        <f t="shared" ca="1" si="2"/>
        <v>1</v>
      </c>
      <c r="V11" s="202">
        <f t="shared" ca="1" si="2"/>
        <v>1</v>
      </c>
      <c r="W11" s="202">
        <f t="shared" ca="1" si="2"/>
        <v>1</v>
      </c>
      <c r="X11" s="203">
        <f t="shared" ca="1" si="2"/>
        <v>1</v>
      </c>
      <c r="Y11" s="202">
        <f t="shared" ca="1" si="2"/>
        <v>1</v>
      </c>
      <c r="Z11" s="204">
        <f t="shared" ca="1" si="2"/>
        <v>1</v>
      </c>
      <c r="AA11" s="202">
        <f t="shared" ca="1" si="2"/>
        <v>1</v>
      </c>
      <c r="AB11" s="202">
        <f t="shared" ca="1" si="2"/>
        <v>1</v>
      </c>
      <c r="AC11" s="202">
        <f t="shared" ca="1" si="2"/>
        <v>1</v>
      </c>
      <c r="AD11" s="202">
        <f t="shared" ca="1" si="2"/>
        <v>1</v>
      </c>
      <c r="AE11" s="203">
        <f t="shared" ca="1" si="2"/>
        <v>1</v>
      </c>
      <c r="AF11" s="205"/>
      <c r="AG11" s="188"/>
      <c r="AH11" s="206"/>
      <c r="AI11" s="207"/>
      <c r="AJ11" s="208"/>
      <c r="AK11" s="209"/>
      <c r="AL11" s="209"/>
      <c r="AM11" s="208"/>
      <c r="AN11" s="209"/>
      <c r="AO11" s="209"/>
      <c r="AP11" s="201"/>
    </row>
    <row r="12" spans="1:42" s="59" customFormat="1" ht="12" hidden="1" customHeight="1" x14ac:dyDescent="0.2">
      <c r="A12" s="196" t="s">
        <v>169</v>
      </c>
      <c r="B12" s="210">
        <f t="shared" ref="B12:AE12" si="3">IF(OR(AND(ISNUMBER(EB.UJEintritt),EB.UJEintritt&gt;=B$10+1),AND(ISNUMBER(EB.UJAustritt),EB.UJAustritt&lt;=B$10-1)),0,1)</f>
        <v>1</v>
      </c>
      <c r="C12" s="210">
        <f t="shared" si="3"/>
        <v>1</v>
      </c>
      <c r="D12" s="210">
        <f t="shared" si="3"/>
        <v>1</v>
      </c>
      <c r="E12" s="195">
        <f t="shared" si="3"/>
        <v>1</v>
      </c>
      <c r="F12" s="210">
        <f t="shared" si="3"/>
        <v>1</v>
      </c>
      <c r="G12" s="210">
        <f t="shared" si="3"/>
        <v>1</v>
      </c>
      <c r="H12" s="210">
        <f t="shared" si="3"/>
        <v>1</v>
      </c>
      <c r="I12" s="210">
        <f t="shared" si="3"/>
        <v>1</v>
      </c>
      <c r="J12" s="195">
        <f t="shared" si="3"/>
        <v>1</v>
      </c>
      <c r="K12" s="210">
        <f t="shared" si="3"/>
        <v>1</v>
      </c>
      <c r="L12" s="195">
        <f t="shared" si="3"/>
        <v>1</v>
      </c>
      <c r="M12" s="210">
        <f t="shared" si="3"/>
        <v>1</v>
      </c>
      <c r="N12" s="210">
        <f t="shared" si="3"/>
        <v>1</v>
      </c>
      <c r="O12" s="210">
        <f t="shared" si="3"/>
        <v>1</v>
      </c>
      <c r="P12" s="210">
        <f t="shared" si="3"/>
        <v>1</v>
      </c>
      <c r="Q12" s="195">
        <f t="shared" si="3"/>
        <v>1</v>
      </c>
      <c r="R12" s="210">
        <f t="shared" si="3"/>
        <v>1</v>
      </c>
      <c r="S12" s="195">
        <f t="shared" si="3"/>
        <v>1</v>
      </c>
      <c r="T12" s="195">
        <f t="shared" si="3"/>
        <v>1</v>
      </c>
      <c r="U12" s="210">
        <f t="shared" si="3"/>
        <v>1</v>
      </c>
      <c r="V12" s="210">
        <f t="shared" si="3"/>
        <v>1</v>
      </c>
      <c r="W12" s="210">
        <f t="shared" si="3"/>
        <v>1</v>
      </c>
      <c r="X12" s="195">
        <f t="shared" si="3"/>
        <v>1</v>
      </c>
      <c r="Y12" s="210">
        <f t="shared" si="3"/>
        <v>1</v>
      </c>
      <c r="Z12" s="211">
        <f t="shared" si="3"/>
        <v>1</v>
      </c>
      <c r="AA12" s="210">
        <f t="shared" si="3"/>
        <v>1</v>
      </c>
      <c r="AB12" s="210">
        <f t="shared" si="3"/>
        <v>1</v>
      </c>
      <c r="AC12" s="210">
        <f t="shared" si="3"/>
        <v>1</v>
      </c>
      <c r="AD12" s="210">
        <f t="shared" si="3"/>
        <v>1</v>
      </c>
      <c r="AE12" s="195">
        <f t="shared" si="3"/>
        <v>1</v>
      </c>
      <c r="AF12" s="205"/>
      <c r="AG12" s="188"/>
      <c r="AH12" s="206"/>
      <c r="AI12" s="207"/>
      <c r="AJ12" s="208"/>
      <c r="AK12" s="209"/>
      <c r="AL12" s="209"/>
      <c r="AM12" s="208"/>
      <c r="AN12" s="209"/>
      <c r="AO12" s="209"/>
      <c r="AP12" s="201"/>
    </row>
    <row r="13" spans="1:42" s="38" customFormat="1" ht="15" customHeight="1" x14ac:dyDescent="0.2">
      <c r="A13" s="212" t="s">
        <v>74</v>
      </c>
      <c r="B13" s="40"/>
      <c r="C13" s="40"/>
      <c r="D13" s="40"/>
      <c r="E13" s="27"/>
      <c r="F13" s="40"/>
      <c r="G13" s="40"/>
      <c r="H13" s="40"/>
      <c r="I13" s="40"/>
      <c r="J13" s="27"/>
      <c r="K13" s="40"/>
      <c r="L13" s="27"/>
      <c r="M13" s="40"/>
      <c r="N13" s="40"/>
      <c r="O13" s="40"/>
      <c r="P13" s="40"/>
      <c r="Q13" s="27"/>
      <c r="R13" s="40"/>
      <c r="S13" s="27"/>
      <c r="T13" s="27"/>
      <c r="U13" s="40"/>
      <c r="V13" s="40"/>
      <c r="W13" s="40"/>
      <c r="X13" s="27"/>
      <c r="Y13" s="40"/>
      <c r="Z13" s="39"/>
      <c r="AA13" s="40"/>
      <c r="AB13" s="40"/>
      <c r="AC13" s="40"/>
      <c r="AD13" s="40"/>
      <c r="AE13" s="27"/>
      <c r="AF13" s="205" t="str">
        <f t="shared" ref="AF13:AF23" si="4">A13</f>
        <v>in</v>
      </c>
      <c r="AG13" s="188"/>
      <c r="AH13" s="206"/>
      <c r="AI13" s="207"/>
      <c r="AJ13" s="208"/>
      <c r="AK13" s="209"/>
      <c r="AL13" s="209"/>
      <c r="AM13" s="208"/>
      <c r="AN13" s="209"/>
      <c r="AO13" s="209"/>
      <c r="AP13" s="119"/>
    </row>
    <row r="14" spans="1:42" s="38" customFormat="1" ht="15" customHeight="1" x14ac:dyDescent="0.2">
      <c r="A14" s="212" t="s">
        <v>75</v>
      </c>
      <c r="B14" s="40"/>
      <c r="C14" s="40"/>
      <c r="D14" s="40"/>
      <c r="E14" s="27"/>
      <c r="F14" s="40"/>
      <c r="G14" s="40"/>
      <c r="H14" s="40"/>
      <c r="I14" s="40"/>
      <c r="J14" s="27"/>
      <c r="K14" s="40"/>
      <c r="L14" s="27"/>
      <c r="M14" s="40"/>
      <c r="N14" s="40"/>
      <c r="O14" s="40"/>
      <c r="P14" s="40"/>
      <c r="Q14" s="27"/>
      <c r="R14" s="40"/>
      <c r="S14" s="27"/>
      <c r="T14" s="27"/>
      <c r="U14" s="40"/>
      <c r="V14" s="40"/>
      <c r="W14" s="40"/>
      <c r="X14" s="27"/>
      <c r="Y14" s="40"/>
      <c r="Z14" s="39"/>
      <c r="AA14" s="40"/>
      <c r="AB14" s="40"/>
      <c r="AC14" s="40"/>
      <c r="AD14" s="40"/>
      <c r="AE14" s="27"/>
      <c r="AF14" s="205" t="str">
        <f t="shared" si="4"/>
        <v>out</v>
      </c>
      <c r="AG14" s="188"/>
      <c r="AH14" s="206"/>
      <c r="AI14" s="207"/>
      <c r="AJ14" s="208"/>
      <c r="AK14" s="209"/>
      <c r="AL14" s="209"/>
      <c r="AM14" s="208"/>
      <c r="AN14" s="209"/>
      <c r="AO14" s="209"/>
      <c r="AP14" s="119"/>
    </row>
    <row r="15" spans="1:42" s="38" customFormat="1" ht="15" customHeight="1" x14ac:dyDescent="0.2">
      <c r="A15" s="212" t="s">
        <v>74</v>
      </c>
      <c r="B15" s="40"/>
      <c r="C15" s="40"/>
      <c r="D15" s="40"/>
      <c r="E15" s="27"/>
      <c r="F15" s="40"/>
      <c r="G15" s="40"/>
      <c r="H15" s="40"/>
      <c r="I15" s="40"/>
      <c r="J15" s="27"/>
      <c r="K15" s="40"/>
      <c r="L15" s="27"/>
      <c r="M15" s="40"/>
      <c r="N15" s="40"/>
      <c r="O15" s="40"/>
      <c r="P15" s="40"/>
      <c r="Q15" s="27"/>
      <c r="R15" s="40"/>
      <c r="S15" s="27"/>
      <c r="T15" s="27"/>
      <c r="U15" s="40"/>
      <c r="V15" s="40"/>
      <c r="W15" s="40"/>
      <c r="X15" s="27"/>
      <c r="Y15" s="40"/>
      <c r="Z15" s="39"/>
      <c r="AA15" s="40"/>
      <c r="AB15" s="40"/>
      <c r="AC15" s="40"/>
      <c r="AD15" s="40"/>
      <c r="AE15" s="27"/>
      <c r="AF15" s="205" t="str">
        <f t="shared" si="4"/>
        <v>in</v>
      </c>
      <c r="AG15" s="188"/>
      <c r="AH15" s="206"/>
      <c r="AI15" s="207"/>
      <c r="AJ15" s="208"/>
      <c r="AK15" s="209"/>
      <c r="AL15" s="209"/>
      <c r="AM15" s="208"/>
      <c r="AN15" s="209"/>
      <c r="AO15" s="209"/>
      <c r="AP15" s="119"/>
    </row>
    <row r="16" spans="1:42" s="38" customFormat="1" ht="15" customHeight="1" x14ac:dyDescent="0.2">
      <c r="A16" s="212" t="s">
        <v>75</v>
      </c>
      <c r="B16" s="40"/>
      <c r="C16" s="40"/>
      <c r="D16" s="40"/>
      <c r="E16" s="27"/>
      <c r="F16" s="40"/>
      <c r="G16" s="40"/>
      <c r="H16" s="40"/>
      <c r="I16" s="40"/>
      <c r="J16" s="27"/>
      <c r="K16" s="40"/>
      <c r="L16" s="27"/>
      <c r="M16" s="40"/>
      <c r="N16" s="40"/>
      <c r="O16" s="40"/>
      <c r="P16" s="40"/>
      <c r="Q16" s="27"/>
      <c r="R16" s="40"/>
      <c r="S16" s="27"/>
      <c r="T16" s="27"/>
      <c r="U16" s="40"/>
      <c r="V16" s="40"/>
      <c r="W16" s="40"/>
      <c r="X16" s="27"/>
      <c r="Y16" s="40"/>
      <c r="Z16" s="39"/>
      <c r="AA16" s="40"/>
      <c r="AB16" s="40"/>
      <c r="AC16" s="40"/>
      <c r="AD16" s="40"/>
      <c r="AE16" s="27"/>
      <c r="AF16" s="205" t="str">
        <f t="shared" si="4"/>
        <v>out</v>
      </c>
      <c r="AG16" s="188"/>
      <c r="AH16" s="213"/>
      <c r="AI16" s="214"/>
      <c r="AJ16" s="209"/>
      <c r="AK16" s="209"/>
      <c r="AL16" s="209"/>
      <c r="AM16" s="208"/>
      <c r="AN16" s="209"/>
      <c r="AO16" s="209"/>
      <c r="AP16" s="119"/>
    </row>
    <row r="17" spans="1:42" s="38" customFormat="1" ht="15" customHeight="1" x14ac:dyDescent="0.2">
      <c r="A17" s="212" t="s">
        <v>74</v>
      </c>
      <c r="B17" s="40"/>
      <c r="C17" s="40"/>
      <c r="D17" s="40"/>
      <c r="E17" s="27"/>
      <c r="F17" s="40"/>
      <c r="G17" s="40"/>
      <c r="H17" s="40"/>
      <c r="I17" s="40"/>
      <c r="J17" s="27"/>
      <c r="K17" s="40"/>
      <c r="L17" s="27"/>
      <c r="M17" s="40"/>
      <c r="N17" s="40"/>
      <c r="O17" s="40"/>
      <c r="P17" s="40"/>
      <c r="Q17" s="27"/>
      <c r="R17" s="40"/>
      <c r="S17" s="27"/>
      <c r="T17" s="27"/>
      <c r="U17" s="40"/>
      <c r="V17" s="40"/>
      <c r="W17" s="40"/>
      <c r="X17" s="27"/>
      <c r="Y17" s="40"/>
      <c r="Z17" s="39"/>
      <c r="AA17" s="40"/>
      <c r="AB17" s="40"/>
      <c r="AC17" s="40"/>
      <c r="AD17" s="40"/>
      <c r="AE17" s="27"/>
      <c r="AF17" s="205" t="str">
        <f t="shared" si="4"/>
        <v>in</v>
      </c>
      <c r="AG17" s="188"/>
      <c r="AH17" s="213"/>
      <c r="AI17" s="214"/>
      <c r="AJ17" s="209"/>
      <c r="AK17" s="209"/>
      <c r="AL17" s="209"/>
      <c r="AM17" s="208"/>
      <c r="AN17" s="209"/>
      <c r="AO17" s="209"/>
      <c r="AP17" s="119"/>
    </row>
    <row r="18" spans="1:42" s="38" customFormat="1" ht="15" customHeight="1" x14ac:dyDescent="0.2">
      <c r="A18" s="212" t="s">
        <v>75</v>
      </c>
      <c r="B18" s="40"/>
      <c r="C18" s="40"/>
      <c r="D18" s="40"/>
      <c r="E18" s="27"/>
      <c r="F18" s="40"/>
      <c r="G18" s="40"/>
      <c r="H18" s="40"/>
      <c r="I18" s="40"/>
      <c r="J18" s="27"/>
      <c r="K18" s="40"/>
      <c r="L18" s="27"/>
      <c r="M18" s="40"/>
      <c r="N18" s="40"/>
      <c r="O18" s="40"/>
      <c r="P18" s="40"/>
      <c r="Q18" s="27"/>
      <c r="R18" s="40"/>
      <c r="S18" s="27"/>
      <c r="T18" s="27"/>
      <c r="U18" s="40"/>
      <c r="V18" s="40"/>
      <c r="W18" s="40"/>
      <c r="X18" s="27"/>
      <c r="Y18" s="40"/>
      <c r="Z18" s="39"/>
      <c r="AA18" s="40"/>
      <c r="AB18" s="40"/>
      <c r="AC18" s="40"/>
      <c r="AD18" s="40"/>
      <c r="AE18" s="27"/>
      <c r="AF18" s="205" t="str">
        <f t="shared" si="4"/>
        <v>out</v>
      </c>
      <c r="AG18" s="188"/>
      <c r="AH18" s="213"/>
      <c r="AI18" s="214"/>
      <c r="AJ18" s="209"/>
      <c r="AK18" s="209"/>
      <c r="AL18" s="209"/>
      <c r="AM18" s="208"/>
      <c r="AN18" s="209"/>
      <c r="AO18" s="209"/>
      <c r="AP18" s="119"/>
    </row>
    <row r="19" spans="1:42" s="38" customFormat="1" ht="15" hidden="1" customHeight="1" outlineLevel="1" x14ac:dyDescent="0.2">
      <c r="A19" s="212" t="s">
        <v>74</v>
      </c>
      <c r="B19" s="40"/>
      <c r="C19" s="40"/>
      <c r="D19" s="40"/>
      <c r="E19" s="27"/>
      <c r="F19" s="40"/>
      <c r="G19" s="40"/>
      <c r="H19" s="40"/>
      <c r="I19" s="40"/>
      <c r="J19" s="27"/>
      <c r="K19" s="40"/>
      <c r="L19" s="27"/>
      <c r="M19" s="40"/>
      <c r="N19" s="40"/>
      <c r="O19" s="40"/>
      <c r="P19" s="40"/>
      <c r="Q19" s="27"/>
      <c r="R19" s="40"/>
      <c r="S19" s="27"/>
      <c r="T19" s="27"/>
      <c r="U19" s="40"/>
      <c r="V19" s="40"/>
      <c r="W19" s="40"/>
      <c r="X19" s="27"/>
      <c r="Y19" s="40"/>
      <c r="Z19" s="39"/>
      <c r="AA19" s="40"/>
      <c r="AB19" s="40"/>
      <c r="AC19" s="40"/>
      <c r="AD19" s="40"/>
      <c r="AE19" s="27"/>
      <c r="AF19" s="205" t="str">
        <f t="shared" si="4"/>
        <v>in</v>
      </c>
      <c r="AG19" s="188"/>
      <c r="AH19" s="213"/>
      <c r="AI19" s="214"/>
      <c r="AJ19" s="209"/>
      <c r="AK19" s="209"/>
      <c r="AL19" s="209"/>
      <c r="AM19" s="208"/>
      <c r="AN19" s="209"/>
      <c r="AO19" s="209"/>
      <c r="AP19" s="119"/>
    </row>
    <row r="20" spans="1:42" s="38" customFormat="1" ht="15" hidden="1" customHeight="1" outlineLevel="1" x14ac:dyDescent="0.2">
      <c r="A20" s="212" t="s">
        <v>75</v>
      </c>
      <c r="B20" s="40"/>
      <c r="C20" s="40"/>
      <c r="D20" s="40"/>
      <c r="E20" s="27"/>
      <c r="F20" s="40"/>
      <c r="G20" s="40"/>
      <c r="H20" s="40"/>
      <c r="I20" s="40"/>
      <c r="J20" s="27"/>
      <c r="K20" s="40"/>
      <c r="L20" s="27"/>
      <c r="M20" s="40"/>
      <c r="N20" s="40"/>
      <c r="O20" s="40"/>
      <c r="P20" s="40"/>
      <c r="Q20" s="27"/>
      <c r="R20" s="40"/>
      <c r="S20" s="27"/>
      <c r="T20" s="27"/>
      <c r="U20" s="40"/>
      <c r="V20" s="40"/>
      <c r="W20" s="40"/>
      <c r="X20" s="27"/>
      <c r="Y20" s="40"/>
      <c r="Z20" s="39"/>
      <c r="AA20" s="40"/>
      <c r="AB20" s="40"/>
      <c r="AC20" s="40"/>
      <c r="AD20" s="40"/>
      <c r="AE20" s="27"/>
      <c r="AF20" s="205" t="str">
        <f t="shared" si="4"/>
        <v>out</v>
      </c>
      <c r="AG20" s="188"/>
      <c r="AH20" s="213"/>
      <c r="AI20" s="214"/>
      <c r="AJ20" s="209"/>
      <c r="AK20" s="209"/>
      <c r="AL20" s="209"/>
      <c r="AM20" s="208"/>
      <c r="AN20" s="209"/>
      <c r="AO20" s="209"/>
      <c r="AP20" s="119"/>
    </row>
    <row r="21" spans="1:42" s="38" customFormat="1" ht="15" hidden="1" customHeight="1" outlineLevel="1" x14ac:dyDescent="0.2">
      <c r="A21" s="212" t="s">
        <v>74</v>
      </c>
      <c r="B21" s="40"/>
      <c r="C21" s="40"/>
      <c r="D21" s="40"/>
      <c r="E21" s="27"/>
      <c r="F21" s="40"/>
      <c r="G21" s="40"/>
      <c r="H21" s="40"/>
      <c r="I21" s="40"/>
      <c r="J21" s="27"/>
      <c r="K21" s="40"/>
      <c r="L21" s="27"/>
      <c r="M21" s="40"/>
      <c r="N21" s="40"/>
      <c r="O21" s="40"/>
      <c r="P21" s="40"/>
      <c r="Q21" s="27"/>
      <c r="R21" s="40"/>
      <c r="S21" s="27"/>
      <c r="T21" s="27"/>
      <c r="U21" s="40"/>
      <c r="V21" s="40"/>
      <c r="W21" s="40"/>
      <c r="X21" s="27"/>
      <c r="Y21" s="40"/>
      <c r="Z21" s="39"/>
      <c r="AA21" s="40"/>
      <c r="AB21" s="40"/>
      <c r="AC21" s="40"/>
      <c r="AD21" s="40"/>
      <c r="AE21" s="27"/>
      <c r="AF21" s="205" t="str">
        <f t="shared" si="4"/>
        <v>in</v>
      </c>
      <c r="AG21" s="188"/>
      <c r="AH21" s="213"/>
      <c r="AI21" s="214"/>
      <c r="AJ21" s="209"/>
      <c r="AK21" s="209"/>
      <c r="AL21" s="209"/>
      <c r="AM21" s="208"/>
      <c r="AN21" s="209"/>
      <c r="AO21" s="209"/>
      <c r="AP21" s="119"/>
    </row>
    <row r="22" spans="1:42" s="38" customFormat="1" ht="15" hidden="1" customHeight="1" outlineLevel="1" x14ac:dyDescent="0.2">
      <c r="A22" s="212" t="s">
        <v>75</v>
      </c>
      <c r="B22" s="40"/>
      <c r="C22" s="40"/>
      <c r="D22" s="40"/>
      <c r="E22" s="27"/>
      <c r="F22" s="40"/>
      <c r="G22" s="40"/>
      <c r="H22" s="40"/>
      <c r="I22" s="40"/>
      <c r="J22" s="27"/>
      <c r="K22" s="40"/>
      <c r="L22" s="27"/>
      <c r="M22" s="40"/>
      <c r="N22" s="40"/>
      <c r="O22" s="40"/>
      <c r="P22" s="40"/>
      <c r="Q22" s="27"/>
      <c r="R22" s="40"/>
      <c r="S22" s="27"/>
      <c r="T22" s="27"/>
      <c r="U22" s="40"/>
      <c r="V22" s="40"/>
      <c r="W22" s="40"/>
      <c r="X22" s="27"/>
      <c r="Y22" s="40"/>
      <c r="Z22" s="39"/>
      <c r="AA22" s="40"/>
      <c r="AB22" s="40"/>
      <c r="AC22" s="40"/>
      <c r="AD22" s="40"/>
      <c r="AE22" s="27"/>
      <c r="AF22" s="205" t="str">
        <f t="shared" si="4"/>
        <v>out</v>
      </c>
      <c r="AG22" s="188"/>
      <c r="AH22" s="213"/>
      <c r="AI22" s="214"/>
      <c r="AJ22" s="209"/>
      <c r="AK22" s="209"/>
      <c r="AL22" s="209"/>
      <c r="AM22" s="208"/>
      <c r="AN22" s="209"/>
      <c r="AO22" s="209"/>
      <c r="AP22" s="119"/>
    </row>
    <row r="23" spans="1:42" s="38" customFormat="1" ht="15" customHeight="1" collapsed="1" x14ac:dyDescent="0.2">
      <c r="A23" s="215" t="s">
        <v>204</v>
      </c>
      <c r="B23" s="216">
        <f>ROUND(((B14-B13)+(B16-B15)+(B18-B17)+(B20-B19)+(B22-B21))*1440,0)/1440</f>
        <v>0</v>
      </c>
      <c r="C23" s="216">
        <f t="shared" ref="C23:AE23" si="5">ROUND(((C14-C13)+(C16-C15)+(C18-C17)+(C20-C19)+(C22-C21))*1440,0)/1440</f>
        <v>0</v>
      </c>
      <c r="D23" s="216">
        <f t="shared" si="5"/>
        <v>0</v>
      </c>
      <c r="E23" s="216">
        <f t="shared" si="5"/>
        <v>0</v>
      </c>
      <c r="F23" s="216">
        <f t="shared" si="5"/>
        <v>0</v>
      </c>
      <c r="G23" s="216">
        <f t="shared" si="5"/>
        <v>0</v>
      </c>
      <c r="H23" s="216">
        <f t="shared" si="5"/>
        <v>0</v>
      </c>
      <c r="I23" s="216">
        <f t="shared" si="5"/>
        <v>0</v>
      </c>
      <c r="J23" s="216">
        <f t="shared" si="5"/>
        <v>0</v>
      </c>
      <c r="K23" s="216">
        <f t="shared" si="5"/>
        <v>0</v>
      </c>
      <c r="L23" s="216">
        <f t="shared" si="5"/>
        <v>0</v>
      </c>
      <c r="M23" s="216">
        <f t="shared" si="5"/>
        <v>0</v>
      </c>
      <c r="N23" s="216">
        <f t="shared" si="5"/>
        <v>0</v>
      </c>
      <c r="O23" s="216">
        <f t="shared" si="5"/>
        <v>0</v>
      </c>
      <c r="P23" s="216">
        <f t="shared" si="5"/>
        <v>0</v>
      </c>
      <c r="Q23" s="216">
        <f t="shared" si="5"/>
        <v>0</v>
      </c>
      <c r="R23" s="216">
        <f t="shared" si="5"/>
        <v>0</v>
      </c>
      <c r="S23" s="216">
        <f t="shared" si="5"/>
        <v>0</v>
      </c>
      <c r="T23" s="216">
        <f t="shared" si="5"/>
        <v>0</v>
      </c>
      <c r="U23" s="216">
        <f t="shared" si="5"/>
        <v>0</v>
      </c>
      <c r="V23" s="216">
        <f t="shared" si="5"/>
        <v>0</v>
      </c>
      <c r="W23" s="216">
        <f t="shared" si="5"/>
        <v>0</v>
      </c>
      <c r="X23" s="216">
        <f t="shared" si="5"/>
        <v>0</v>
      </c>
      <c r="Y23" s="216">
        <f t="shared" si="5"/>
        <v>0</v>
      </c>
      <c r="Z23" s="216">
        <f t="shared" si="5"/>
        <v>0</v>
      </c>
      <c r="AA23" s="216">
        <f t="shared" si="5"/>
        <v>0</v>
      </c>
      <c r="AB23" s="216">
        <f t="shared" si="5"/>
        <v>0</v>
      </c>
      <c r="AC23" s="216">
        <f t="shared" si="5"/>
        <v>0</v>
      </c>
      <c r="AD23" s="216">
        <f t="shared" si="5"/>
        <v>0</v>
      </c>
      <c r="AE23" s="216">
        <f t="shared" si="5"/>
        <v>0</v>
      </c>
      <c r="AF23" s="217" t="str">
        <f t="shared" si="4"/>
        <v>Total in/out</v>
      </c>
      <c r="AG23" s="218"/>
      <c r="AH23" s="219">
        <f>SUM(B23:AE23)</f>
        <v>0</v>
      </c>
      <c r="AI23" s="214"/>
      <c r="AJ23" s="209"/>
      <c r="AK23" s="209"/>
      <c r="AL23" s="209"/>
      <c r="AM23" s="208"/>
      <c r="AN23" s="209"/>
      <c r="AO23" s="209"/>
      <c r="AP23" s="119"/>
    </row>
    <row r="24" spans="1:42" s="38" customFormat="1" ht="3.75" hidden="1" customHeight="1" outlineLevel="1" x14ac:dyDescent="0.2">
      <c r="A24" s="220"/>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05"/>
      <c r="AG24" s="188"/>
      <c r="AH24" s="213"/>
      <c r="AI24" s="214"/>
      <c r="AJ24" s="209"/>
      <c r="AK24" s="209"/>
      <c r="AL24" s="209"/>
      <c r="AM24" s="208"/>
      <c r="AN24" s="209"/>
      <c r="AO24" s="209"/>
      <c r="AP24" s="119"/>
    </row>
    <row r="25" spans="1:42" s="38" customFormat="1" ht="15" hidden="1" customHeight="1" outlineLevel="1" x14ac:dyDescent="0.2">
      <c r="A25" s="212" t="s">
        <v>164</v>
      </c>
      <c r="B25" s="40"/>
      <c r="C25" s="40"/>
      <c r="D25" s="40"/>
      <c r="E25" s="77"/>
      <c r="F25" s="40"/>
      <c r="G25" s="40"/>
      <c r="H25" s="40"/>
      <c r="I25" s="40"/>
      <c r="J25" s="40"/>
      <c r="K25" s="40"/>
      <c r="L25" s="40"/>
      <c r="M25" s="40"/>
      <c r="N25" s="40"/>
      <c r="O25" s="40"/>
      <c r="P25" s="40"/>
      <c r="Q25" s="40"/>
      <c r="R25" s="40"/>
      <c r="S25" s="40"/>
      <c r="T25" s="40"/>
      <c r="U25" s="40"/>
      <c r="V25" s="40"/>
      <c r="W25" s="40"/>
      <c r="X25" s="40"/>
      <c r="Y25" s="40"/>
      <c r="Z25" s="47"/>
      <c r="AA25" s="40"/>
      <c r="AB25" s="40"/>
      <c r="AC25" s="40"/>
      <c r="AD25" s="40"/>
      <c r="AE25" s="40"/>
      <c r="AF25" s="205" t="str">
        <f t="shared" ref="AF25:AF30" si="6">A25</f>
        <v>paid break in</v>
      </c>
      <c r="AG25" s="188"/>
      <c r="AH25" s="213"/>
      <c r="AI25" s="214"/>
      <c r="AJ25" s="209"/>
      <c r="AK25" s="209"/>
      <c r="AL25" s="209"/>
      <c r="AM25" s="208"/>
      <c r="AN25" s="209"/>
      <c r="AO25" s="209"/>
      <c r="AP25" s="119"/>
    </row>
    <row r="26" spans="1:42" s="38" customFormat="1" ht="15" hidden="1" customHeight="1" outlineLevel="1" x14ac:dyDescent="0.2">
      <c r="A26" s="212" t="s">
        <v>165</v>
      </c>
      <c r="B26" s="40"/>
      <c r="C26" s="40"/>
      <c r="D26" s="40"/>
      <c r="E26" s="40"/>
      <c r="F26" s="40"/>
      <c r="G26" s="40"/>
      <c r="H26" s="40"/>
      <c r="I26" s="40"/>
      <c r="J26" s="40"/>
      <c r="K26" s="40"/>
      <c r="L26" s="40"/>
      <c r="M26" s="40"/>
      <c r="N26" s="40"/>
      <c r="O26" s="40"/>
      <c r="P26" s="40"/>
      <c r="Q26" s="40"/>
      <c r="R26" s="40"/>
      <c r="S26" s="40"/>
      <c r="T26" s="40"/>
      <c r="U26" s="40"/>
      <c r="V26" s="40"/>
      <c r="W26" s="40"/>
      <c r="X26" s="40"/>
      <c r="Y26" s="40"/>
      <c r="Z26" s="47"/>
      <c r="AA26" s="40"/>
      <c r="AB26" s="40"/>
      <c r="AC26" s="40"/>
      <c r="AD26" s="40"/>
      <c r="AE26" s="40"/>
      <c r="AF26" s="205" t="str">
        <f t="shared" si="6"/>
        <v>paid break out</v>
      </c>
      <c r="AG26" s="188"/>
      <c r="AH26" s="213"/>
      <c r="AI26" s="214"/>
      <c r="AJ26" s="209"/>
      <c r="AK26" s="209"/>
      <c r="AL26" s="209"/>
      <c r="AM26" s="208"/>
      <c r="AN26" s="209"/>
      <c r="AO26" s="209"/>
      <c r="AP26" s="119"/>
    </row>
    <row r="27" spans="1:42" s="38" customFormat="1" ht="15" hidden="1" customHeight="1" outlineLevel="1" x14ac:dyDescent="0.2">
      <c r="A27" s="212" t="s">
        <v>164</v>
      </c>
      <c r="B27" s="40"/>
      <c r="C27" s="40"/>
      <c r="D27" s="40"/>
      <c r="E27" s="40"/>
      <c r="F27" s="40"/>
      <c r="G27" s="40"/>
      <c r="H27" s="40"/>
      <c r="I27" s="40"/>
      <c r="J27" s="40"/>
      <c r="K27" s="40"/>
      <c r="L27" s="40"/>
      <c r="M27" s="40"/>
      <c r="N27" s="40"/>
      <c r="O27" s="40"/>
      <c r="P27" s="40"/>
      <c r="Q27" s="40"/>
      <c r="R27" s="40"/>
      <c r="S27" s="40"/>
      <c r="T27" s="40"/>
      <c r="U27" s="40"/>
      <c r="V27" s="40"/>
      <c r="W27" s="40"/>
      <c r="X27" s="40"/>
      <c r="Y27" s="40"/>
      <c r="Z27" s="47"/>
      <c r="AA27" s="40"/>
      <c r="AB27" s="40"/>
      <c r="AC27" s="40"/>
      <c r="AD27" s="40"/>
      <c r="AE27" s="40"/>
      <c r="AF27" s="205" t="str">
        <f t="shared" si="6"/>
        <v>paid break in</v>
      </c>
      <c r="AG27" s="188"/>
      <c r="AH27" s="213"/>
      <c r="AI27" s="214"/>
      <c r="AJ27" s="209"/>
      <c r="AK27" s="209"/>
      <c r="AL27" s="209"/>
      <c r="AM27" s="208"/>
      <c r="AN27" s="209"/>
      <c r="AO27" s="209"/>
      <c r="AP27" s="119"/>
    </row>
    <row r="28" spans="1:42" s="38" customFormat="1" ht="15" hidden="1" customHeight="1" outlineLevel="1" x14ac:dyDescent="0.2">
      <c r="A28" s="212" t="s">
        <v>165</v>
      </c>
      <c r="B28" s="40"/>
      <c r="C28" s="40"/>
      <c r="D28" s="40"/>
      <c r="E28" s="40"/>
      <c r="F28" s="40"/>
      <c r="G28" s="40"/>
      <c r="H28" s="40"/>
      <c r="I28" s="40"/>
      <c r="J28" s="40"/>
      <c r="K28" s="40"/>
      <c r="L28" s="40"/>
      <c r="M28" s="40"/>
      <c r="N28" s="40"/>
      <c r="O28" s="40"/>
      <c r="P28" s="40"/>
      <c r="Q28" s="40"/>
      <c r="R28" s="40"/>
      <c r="S28" s="40"/>
      <c r="T28" s="40"/>
      <c r="U28" s="40"/>
      <c r="V28" s="40"/>
      <c r="W28" s="40"/>
      <c r="X28" s="40"/>
      <c r="Y28" s="40"/>
      <c r="Z28" s="47"/>
      <c r="AA28" s="40"/>
      <c r="AB28" s="40"/>
      <c r="AC28" s="40"/>
      <c r="AD28" s="40"/>
      <c r="AE28" s="40"/>
      <c r="AF28" s="205" t="str">
        <f t="shared" si="6"/>
        <v>paid break out</v>
      </c>
      <c r="AG28" s="188"/>
      <c r="AH28" s="213"/>
      <c r="AI28" s="214"/>
      <c r="AJ28" s="209"/>
      <c r="AK28" s="209"/>
      <c r="AL28" s="209"/>
      <c r="AM28" s="208"/>
      <c r="AN28" s="209"/>
      <c r="AO28" s="209"/>
      <c r="AP28" s="119"/>
    </row>
    <row r="29" spans="1:42" s="38" customFormat="1" ht="15" hidden="1" customHeight="1" outlineLevel="1" x14ac:dyDescent="0.2">
      <c r="A29" s="212" t="s">
        <v>164</v>
      </c>
      <c r="B29" s="40"/>
      <c r="C29" s="40"/>
      <c r="D29" s="40"/>
      <c r="E29" s="40"/>
      <c r="F29" s="40"/>
      <c r="G29" s="40"/>
      <c r="H29" s="40"/>
      <c r="I29" s="40"/>
      <c r="J29" s="40"/>
      <c r="K29" s="40"/>
      <c r="L29" s="40"/>
      <c r="M29" s="40"/>
      <c r="N29" s="40"/>
      <c r="O29" s="40"/>
      <c r="P29" s="40"/>
      <c r="Q29" s="40"/>
      <c r="R29" s="40"/>
      <c r="S29" s="40"/>
      <c r="T29" s="40"/>
      <c r="U29" s="40"/>
      <c r="V29" s="40"/>
      <c r="W29" s="40"/>
      <c r="X29" s="40"/>
      <c r="Y29" s="40"/>
      <c r="Z29" s="47"/>
      <c r="AA29" s="40"/>
      <c r="AB29" s="40"/>
      <c r="AC29" s="40"/>
      <c r="AD29" s="40"/>
      <c r="AE29" s="40"/>
      <c r="AF29" s="205" t="str">
        <f t="shared" si="6"/>
        <v>paid break in</v>
      </c>
      <c r="AG29" s="188"/>
      <c r="AH29" s="213"/>
      <c r="AI29" s="214"/>
      <c r="AJ29" s="209"/>
      <c r="AK29" s="209"/>
      <c r="AL29" s="209"/>
      <c r="AM29" s="208"/>
      <c r="AN29" s="209"/>
      <c r="AO29" s="209"/>
      <c r="AP29" s="119"/>
    </row>
    <row r="30" spans="1:42" s="38" customFormat="1" ht="15" hidden="1" customHeight="1" outlineLevel="1" x14ac:dyDescent="0.2">
      <c r="A30" s="212" t="s">
        <v>165</v>
      </c>
      <c r="B30" s="40"/>
      <c r="C30" s="40"/>
      <c r="D30" s="40"/>
      <c r="E30" s="40"/>
      <c r="F30" s="40"/>
      <c r="G30" s="40"/>
      <c r="H30" s="40"/>
      <c r="I30" s="40"/>
      <c r="J30" s="40"/>
      <c r="K30" s="40"/>
      <c r="L30" s="40"/>
      <c r="M30" s="40"/>
      <c r="N30" s="40"/>
      <c r="O30" s="40"/>
      <c r="P30" s="40"/>
      <c r="Q30" s="40"/>
      <c r="R30" s="40"/>
      <c r="S30" s="40"/>
      <c r="T30" s="40"/>
      <c r="U30" s="40"/>
      <c r="V30" s="40"/>
      <c r="W30" s="40"/>
      <c r="X30" s="40"/>
      <c r="Y30" s="40"/>
      <c r="Z30" s="47"/>
      <c r="AA30" s="40"/>
      <c r="AB30" s="40"/>
      <c r="AC30" s="40"/>
      <c r="AD30" s="40"/>
      <c r="AE30" s="40"/>
      <c r="AF30" s="205" t="str">
        <f t="shared" si="6"/>
        <v>paid break out</v>
      </c>
      <c r="AG30" s="188"/>
      <c r="AH30" s="213"/>
      <c r="AI30" s="214"/>
      <c r="AJ30" s="209"/>
      <c r="AK30" s="209"/>
      <c r="AL30" s="209"/>
      <c r="AM30" s="208"/>
      <c r="AN30" s="209"/>
      <c r="AO30" s="209"/>
      <c r="AP30" s="119"/>
    </row>
    <row r="31" spans="1:42" s="38" customFormat="1" ht="3.75" hidden="1" customHeight="1" outlineLevel="1" x14ac:dyDescent="0.2">
      <c r="A31" s="220"/>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05"/>
      <c r="AG31" s="188"/>
      <c r="AH31" s="213"/>
      <c r="AI31" s="214"/>
      <c r="AJ31" s="209"/>
      <c r="AK31" s="209"/>
      <c r="AL31" s="209"/>
      <c r="AM31" s="208"/>
      <c r="AN31" s="209"/>
      <c r="AO31" s="209"/>
      <c r="AP31" s="119"/>
    </row>
    <row r="32" spans="1:42" s="38" customFormat="1" ht="15" hidden="1" customHeight="1" outlineLevel="1" x14ac:dyDescent="0.2">
      <c r="A32" s="215" t="s">
        <v>205</v>
      </c>
      <c r="B32" s="225">
        <f>ROUND((IF(MAX(0,B15-B14)&lt;1/24/60*180,MAX(0,B15-B14),0)+IF(MAX(0,B17-B16)&lt;1/24/60*180,MAX(0,B17-B16),0)+IF(MAX(0,B19-B18)&lt;1/24/60*180,MAX(0,B19-B18),0)+IF(MAX(0,B21-B20)&lt;1/24/60*180,MAX(0,B21-B20))+MAX(0,B26-B25)+MAX(0,B28-B27)+MAX(0,B30-B29))*1440,0)/1440</f>
        <v>0</v>
      </c>
      <c r="C32" s="225">
        <f t="shared" ref="C32:AE32" si="7">ROUND((IF(MAX(0,C15-C14)&lt;1/24/60*180,MAX(0,C15-C14),0)+IF(MAX(0,C17-C16)&lt;1/24/60*180,MAX(0,C17-C16),0)+IF(MAX(0,C19-C18)&lt;1/24/60*180,MAX(0,C19-C18),0)+IF(MAX(0,C21-C20)&lt;1/24/60*180,MAX(0,C21-C20))+MAX(0,C26-C25)+MAX(0,C28-C27)+MAX(0,C30-C29))*1440,0)/1440</f>
        <v>0</v>
      </c>
      <c r="D32" s="225">
        <f t="shared" si="7"/>
        <v>0</v>
      </c>
      <c r="E32" s="225">
        <f t="shared" si="7"/>
        <v>0</v>
      </c>
      <c r="F32" s="225">
        <f t="shared" si="7"/>
        <v>0</v>
      </c>
      <c r="G32" s="225">
        <f t="shared" si="7"/>
        <v>0</v>
      </c>
      <c r="H32" s="225">
        <f t="shared" si="7"/>
        <v>0</v>
      </c>
      <c r="I32" s="225">
        <f t="shared" si="7"/>
        <v>0</v>
      </c>
      <c r="J32" s="225">
        <f t="shared" si="7"/>
        <v>0</v>
      </c>
      <c r="K32" s="225">
        <f t="shared" si="7"/>
        <v>0</v>
      </c>
      <c r="L32" s="225">
        <f t="shared" si="7"/>
        <v>0</v>
      </c>
      <c r="M32" s="225">
        <f t="shared" si="7"/>
        <v>0</v>
      </c>
      <c r="N32" s="225">
        <f t="shared" si="7"/>
        <v>0</v>
      </c>
      <c r="O32" s="225">
        <f t="shared" si="7"/>
        <v>0</v>
      </c>
      <c r="P32" s="225">
        <f t="shared" si="7"/>
        <v>0</v>
      </c>
      <c r="Q32" s="225">
        <f t="shared" si="7"/>
        <v>0</v>
      </c>
      <c r="R32" s="225">
        <f t="shared" si="7"/>
        <v>0</v>
      </c>
      <c r="S32" s="225">
        <f t="shared" si="7"/>
        <v>0</v>
      </c>
      <c r="T32" s="225">
        <f t="shared" si="7"/>
        <v>0</v>
      </c>
      <c r="U32" s="225">
        <f t="shared" si="7"/>
        <v>0</v>
      </c>
      <c r="V32" s="225">
        <f t="shared" si="7"/>
        <v>0</v>
      </c>
      <c r="W32" s="225">
        <f t="shared" si="7"/>
        <v>0</v>
      </c>
      <c r="X32" s="225">
        <f t="shared" si="7"/>
        <v>0</v>
      </c>
      <c r="Y32" s="225">
        <f t="shared" si="7"/>
        <v>0</v>
      </c>
      <c r="Z32" s="225">
        <f t="shared" si="7"/>
        <v>0</v>
      </c>
      <c r="AA32" s="225">
        <f t="shared" si="7"/>
        <v>0</v>
      </c>
      <c r="AB32" s="225">
        <f t="shared" si="7"/>
        <v>0</v>
      </c>
      <c r="AC32" s="225">
        <f t="shared" si="7"/>
        <v>0</v>
      </c>
      <c r="AD32" s="225">
        <f t="shared" si="7"/>
        <v>0</v>
      </c>
      <c r="AE32" s="225">
        <f t="shared" si="7"/>
        <v>0</v>
      </c>
      <c r="AF32" s="217" t="str">
        <f>A32</f>
        <v>Total breaks (in out/paid)</v>
      </c>
      <c r="AG32" s="218"/>
      <c r="AH32" s="219">
        <f>SUM(B32:AE32)</f>
        <v>0</v>
      </c>
      <c r="AI32" s="214"/>
      <c r="AJ32" s="209"/>
      <c r="AK32" s="209"/>
      <c r="AL32" s="209"/>
      <c r="AM32" s="208"/>
      <c r="AN32" s="209"/>
      <c r="AO32" s="209"/>
      <c r="AP32" s="119"/>
    </row>
    <row r="33" spans="1:42" s="38" customFormat="1" ht="3.75" customHeight="1" collapsed="1" x14ac:dyDescent="0.2">
      <c r="A33" s="220"/>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05"/>
      <c r="AG33" s="188"/>
      <c r="AH33" s="213"/>
      <c r="AI33" s="214"/>
      <c r="AJ33" s="209"/>
      <c r="AK33" s="209"/>
      <c r="AL33" s="209"/>
      <c r="AM33" s="208"/>
      <c r="AN33" s="209"/>
      <c r="AO33" s="209"/>
      <c r="AP33" s="119"/>
    </row>
    <row r="34" spans="1:42" s="38" customFormat="1" ht="15" customHeight="1" outlineLevel="1" x14ac:dyDescent="0.2">
      <c r="A34" s="212" t="s">
        <v>206</v>
      </c>
      <c r="B34" s="92" t="str">
        <f ca="1">IF(EB.Anwendung&lt;&gt;"",IF(EB.Wochenarbeitszeit=50/24,INDEX(T.Pikett.Bereich,1),IF(DAY(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34="B",INDEX(T.Pikett.Bereich,4),IF(A34="E",INDEX(T.Pikett.Bereich,1),A34)))),"")</f>
        <v>No</v>
      </c>
      <c r="C34" s="92" t="str">
        <f ca="1">IF(EB.Anwendung&lt;&gt;"",IF(EB.Wochenarbeitszeit=50/24,INDEX(T.Pikett.Bereich,1),IF(DAY(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B34="B",INDEX(T.Pikett.Bereich,4),IF(B34="E",INDEX(T.Pikett.Bereich,1),B34)))),"")</f>
        <v>No</v>
      </c>
      <c r="D34" s="92" t="str">
        <f ca="1">IF(EB.Anwendung&lt;&gt;"",IF(EB.Wochenarbeitszeit=50/24,INDEX(T.Pikett.Bereich,1),IF(DAY(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C34="B",INDEX(T.Pikett.Bereich,4),IF(C34="E",INDEX(T.Pikett.Bereich,1),C34)))),"")</f>
        <v>No</v>
      </c>
      <c r="E34" s="92" t="str">
        <f ca="1">IF(EB.Anwendung&lt;&gt;"",IF(EB.Wochenarbeitszeit=50/24,INDEX(T.Pikett.Bereich,1),IF(DAY(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D34="B",INDEX(T.Pikett.Bereich,4),IF(D34="E",INDEX(T.Pikett.Bereich,1),D34)))),"")</f>
        <v>No</v>
      </c>
      <c r="F34" s="92" t="str">
        <f ca="1">IF(EB.Anwendung&lt;&gt;"",IF(EB.Wochenarbeitszeit=50/24,INDEX(T.Pikett.Bereich,1),IF(DAY(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E34="B",INDEX(T.Pikett.Bereich,4),IF(E34="E",INDEX(T.Pikett.Bereich,1),E34)))),"")</f>
        <v>No</v>
      </c>
      <c r="G34" s="92" t="str">
        <f ca="1">IF(EB.Anwendung&lt;&gt;"",IF(EB.Wochenarbeitszeit=50/24,INDEX(T.Pikett.Bereich,1),IF(DAY(G$10)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F34="B",INDEX(T.Pikett.Bereich,4),IF(F34="E",INDEX(T.Pikett.Bereich,1),F34)))),"")</f>
        <v>No</v>
      </c>
      <c r="H34" s="92" t="str">
        <f ca="1">IF(EB.Anwendung&lt;&gt;"",IF(EB.Wochenarbeitszeit=50/24,INDEX(T.Pikett.Bereich,1),IF(DAY(H$10)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G34="B",INDEX(T.Pikett.Bereich,4),IF(G34="E",INDEX(T.Pikett.Bereich,1),G34)))),"")</f>
        <v>No</v>
      </c>
      <c r="I34" s="92" t="str">
        <f ca="1">IF(EB.Anwendung&lt;&gt;"",IF(EB.Wochenarbeitszeit=50/24,INDEX(T.Pikett.Bereich,1),IF(DAY(I$10)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H34="B",INDEX(T.Pikett.Bereich,4),IF(H34="E",INDEX(T.Pikett.Bereich,1),H34)))),"")</f>
        <v>No</v>
      </c>
      <c r="J34" s="92" t="str">
        <f ca="1">IF(EB.Anwendung&lt;&gt;"",IF(EB.Wochenarbeitszeit=50/24,INDEX(T.Pikett.Bereich,1),IF(DAY(J$10)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I34="B",INDEX(T.Pikett.Bereich,4),IF(I34="E",INDEX(T.Pikett.Bereich,1),I34)))),"")</f>
        <v>No</v>
      </c>
      <c r="K34" s="92" t="str">
        <f ca="1">IF(EB.Anwendung&lt;&gt;"",IF(EB.Wochenarbeitszeit=50/24,INDEX(T.Pikett.Bereich,1),IF(DAY(K$10)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J34="B",INDEX(T.Pikett.Bereich,4),IF(J34="E",INDEX(T.Pikett.Bereich,1),J34)))),"")</f>
        <v>No</v>
      </c>
      <c r="L34" s="92" t="str">
        <f ca="1">IF(EB.Anwendung&lt;&gt;"",IF(EB.Wochenarbeitszeit=50/24,INDEX(T.Pikett.Bereich,1),IF(DAY(L$10)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K34="B",INDEX(T.Pikett.Bereich,4),IF(K34="E",INDEX(T.Pikett.Bereich,1),K34)))),"")</f>
        <v>No</v>
      </c>
      <c r="M34" s="92" t="str">
        <f ca="1">IF(EB.Anwendung&lt;&gt;"",IF(EB.Wochenarbeitszeit=50/24,INDEX(T.Pikett.Bereich,1),IF(DAY(M$10)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L34="B",INDEX(T.Pikett.Bereich,4),IF(L34="E",INDEX(T.Pikett.Bereich,1),L34)))),"")</f>
        <v>No</v>
      </c>
      <c r="N34" s="92" t="str">
        <f ca="1">IF(EB.Anwendung&lt;&gt;"",IF(EB.Wochenarbeitszeit=50/24,INDEX(T.Pikett.Bereich,1),IF(DAY(N$10)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M34="B",INDEX(T.Pikett.Bereich,4),IF(M34="E",INDEX(T.Pikett.Bereich,1),M34)))),"")</f>
        <v>No</v>
      </c>
      <c r="O34" s="92" t="str">
        <f ca="1">IF(EB.Anwendung&lt;&gt;"",IF(EB.Wochenarbeitszeit=50/24,INDEX(T.Pikett.Bereich,1),IF(DAY(O$10)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N34="B",INDEX(T.Pikett.Bereich,4),IF(N34="E",INDEX(T.Pikett.Bereich,1),N34)))),"")</f>
        <v>No</v>
      </c>
      <c r="P34" s="92" t="str">
        <f ca="1">IF(EB.Anwendung&lt;&gt;"",IF(EB.Wochenarbeitszeit=50/24,INDEX(T.Pikett.Bereich,1),IF(DAY(P$10)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O34="B",INDEX(T.Pikett.Bereich,4),IF(O34="E",INDEX(T.Pikett.Bereich,1),O34)))),"")</f>
        <v>No</v>
      </c>
      <c r="Q34" s="92" t="str">
        <f ca="1">IF(EB.Anwendung&lt;&gt;"",IF(EB.Wochenarbeitszeit=50/24,INDEX(T.Pikett.Bereich,1),IF(DAY(Q$10)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P34="B",INDEX(T.Pikett.Bereich,4),IF(P34="E",INDEX(T.Pikett.Bereich,1),P34)))),"")</f>
        <v>No</v>
      </c>
      <c r="R34" s="92" t="str">
        <f ca="1">IF(EB.Anwendung&lt;&gt;"",IF(EB.Wochenarbeitszeit=50/24,INDEX(T.Pikett.Bereich,1),IF(DAY(R$10)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Q34="B",INDEX(T.Pikett.Bereich,4),IF(Q34="E",INDEX(T.Pikett.Bereich,1),Q34)))),"")</f>
        <v>No</v>
      </c>
      <c r="S34" s="92" t="str">
        <f ca="1">IF(EB.Anwendung&lt;&gt;"",IF(EB.Wochenarbeitszeit=50/24,INDEX(T.Pikett.Bereich,1),IF(DAY(S$10)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R34="B",INDEX(T.Pikett.Bereich,4),IF(R34="E",INDEX(T.Pikett.Bereich,1),R34)))),"")</f>
        <v>No</v>
      </c>
      <c r="T34" s="92" t="str">
        <f ca="1">IF(EB.Anwendung&lt;&gt;"",IF(EB.Wochenarbeitszeit=50/24,INDEX(T.Pikett.Bereich,1),IF(DAY(T$10)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S34="B",INDEX(T.Pikett.Bereich,4),IF(S34="E",INDEX(T.Pikett.Bereich,1),S34)))),"")</f>
        <v>No</v>
      </c>
      <c r="U34" s="92" t="str">
        <f ca="1">IF(EB.Anwendung&lt;&gt;"",IF(EB.Wochenarbeitszeit=50/24,INDEX(T.Pikett.Bereich,1),IF(DAY(U$10)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T34="B",INDEX(T.Pikett.Bereich,4),IF(T34="E",INDEX(T.Pikett.Bereich,1),T34)))),"")</f>
        <v>No</v>
      </c>
      <c r="V34" s="92" t="str">
        <f ca="1">IF(EB.Anwendung&lt;&gt;"",IF(EB.Wochenarbeitszeit=50/24,INDEX(T.Pikett.Bereich,1),IF(DAY(V$10)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U34="B",INDEX(T.Pikett.Bereich,4),IF(U34="E",INDEX(T.Pikett.Bereich,1),U34)))),"")</f>
        <v>No</v>
      </c>
      <c r="W34" s="92" t="str">
        <f ca="1">IF(EB.Anwendung&lt;&gt;"",IF(EB.Wochenarbeitszeit=50/24,INDEX(T.Pikett.Bereich,1),IF(DAY(W$10)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V34="B",INDEX(T.Pikett.Bereich,4),IF(V34="E",INDEX(T.Pikett.Bereich,1),V34)))),"")</f>
        <v>No</v>
      </c>
      <c r="X34" s="92" t="str">
        <f ca="1">IF(EB.Anwendung&lt;&gt;"",IF(EB.Wochenarbeitszeit=50/24,INDEX(T.Pikett.Bereich,1),IF(DAY(X$10)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W34="B",INDEX(T.Pikett.Bereich,4),IF(W34="E",INDEX(T.Pikett.Bereich,1),W34)))),"")</f>
        <v>No</v>
      </c>
      <c r="Y34" s="92" t="str">
        <f ca="1">IF(EB.Anwendung&lt;&gt;"",IF(EB.Wochenarbeitszeit=50/24,INDEX(T.Pikett.Bereich,1),IF(DAY(Y$10)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X34="B",INDEX(T.Pikett.Bereich,4),IF(X34="E",INDEX(T.Pikett.Bereich,1),X34)))),"")</f>
        <v>No</v>
      </c>
      <c r="Z34" s="92" t="str">
        <f ca="1">IF(EB.Anwendung&lt;&gt;"",IF(EB.Wochenarbeitszeit=50/24,INDEX(T.Pikett.Bereich,1),IF(DAY(Z$10)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Y34="B",INDEX(T.Pikett.Bereich,4),IF(Y34="E",INDEX(T.Pikett.Bereich,1),Y34)))),"")</f>
        <v>No</v>
      </c>
      <c r="AA34" s="92" t="str">
        <f ca="1">IF(EB.Anwendung&lt;&gt;"",IF(EB.Wochenarbeitszeit=50/24,INDEX(T.Pikett.Bereich,1),IF(DAY(AA$10)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Z34="B",INDEX(T.Pikett.Bereich,4),IF(Z34="E",INDEX(T.Pikett.Bereich,1),Z34)))),"")</f>
        <v>No</v>
      </c>
      <c r="AB34" s="92" t="str">
        <f ca="1">IF(EB.Anwendung&lt;&gt;"",IF(EB.Wochenarbeitszeit=50/24,INDEX(T.Pikett.Bereich,1),IF(DAY(A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A34="B",INDEX(T.Pikett.Bereich,4),IF(AA34="E",INDEX(T.Pikett.Bereich,1),AA34)))),"")</f>
        <v>No</v>
      </c>
      <c r="AC34" s="92" t="str">
        <f ca="1">IF(EB.Anwendung&lt;&gt;"",IF(EB.Wochenarbeitszeit=50/24,INDEX(T.Pikett.Bereich,1),IF(DAY(A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B34="B",INDEX(T.Pikett.Bereich,4),IF(AB34="E",INDEX(T.Pikett.Bereich,1),AB34)))),"")</f>
        <v>No</v>
      </c>
      <c r="AD34" s="92" t="str">
        <f ca="1">IF(EB.Anwendung&lt;&gt;"",IF(EB.Wochenarbeitszeit=50/24,INDEX(T.Pikett.Bereich,1),IF(DAY(A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C34="B",INDEX(T.Pikett.Bereich,4),IF(AC34="E",INDEX(T.Pikett.Bereich,1),AC34)))),"")</f>
        <v>No</v>
      </c>
      <c r="AE34" s="92" t="str">
        <f ca="1">IF(EB.Anwendung&lt;&gt;"",IF(EB.Wochenarbeitszeit=50/24,INDEX(T.Pikett.Bereich,1),IF(DAY(A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D34="B",INDEX(T.Pikett.Bereich,4),IF(AD34="E",INDEX(T.Pikett.Bereich,1),AD34)))),"")</f>
        <v>No</v>
      </c>
      <c r="AF34" s="217" t="str">
        <f ca="1">IF(OFFSET(B34,0,DAY(EOMONTH(Monat.Tag1,0))-1,1,1)="B",INDEX(T.Pikett.Bereich,4),IF(OFFSET(B34,0,DAY(EOMONTH(Monat.Tag1,0))-1,1,1)="E",INDEX(T.Pikett.Bereich,1),OFFSET(B34,0,DAY(EOMONTH(Monat.Tag1,0))-1,1,1)))</f>
        <v>No</v>
      </c>
      <c r="AG34" s="228"/>
      <c r="AH34" s="224"/>
      <c r="AI34" s="229" t="str">
        <f ca="1">IF(T.50_Vetsuisse,IFERROR(SUMPRODUCT((B34:AE34=INDEX(T.Pikett.Bereich,4))*((B49:AE49)&lt;1/24*5)),0) &amp; " / " &amp; IFERROR(SUMPRODUCT((B34:AE34=INDEX(T.Pikett.Bereich,4))*((B49:AE49)&gt;=1/24*5)),0) &amp; " / " &amp; IFERROR(SUMPRODUCT((B34:AE34=INDEX(T.Pikett.Bereich,4))*((B49:AE49)&lt;1/24*5)),0) + IFERROR(SUMPRODUCT((B34:AE34=INDEX(T.Pikett.Bereich,4))*((B49:AE49)&gt;=1/24*5)),0),
IFERROR(SUMPRODUCT((B34:AE34=INDEX(T.Pikett.Bereich,4))*(WEEKDAY(B10:AE10,2)&lt;6)*(B11:AE11&lt;&gt;0)),0) &amp; " / " &amp; IFERROR(SUMPRODUCT((B34:AE34=INDEX(T.Pikett.Bereich,4))*(WEEKDAY(B10:AE10,2)&gt;5)*(B11:AE11&lt;&gt;0))+SUMPRODUCT((B34:AE34=INDEX(T.Pikett.Bereich,4))*(B11:AE11=0)),0) &amp; " / " &amp; IFERROR(SUMPRODUCT((B34:AE34=INDEX(T.Pikett.Bereich,4))*(WEEKDAY(B10:AE10,2)&lt;6)*(B11:AE11&lt;&gt;0)),0) + IFERROR(SUMPRODUCT((B34:AE34=INDEX(T.Pikett.Bereich,4))*(WEEKDAY(B10:AE10,2)&gt;5)*(B11:AE11&lt;&gt;0))+SUMPRODUCT((B34:AE34=INDEX(T.Pikett.Bereich,4))*(B11:AE11=0)),0))</f>
        <v>0 / 0 / 0</v>
      </c>
      <c r="AJ34" s="209"/>
      <c r="AK34" s="209"/>
      <c r="AL34" s="209"/>
      <c r="AM34" s="208"/>
      <c r="AN34" s="209"/>
      <c r="AO34" s="209"/>
      <c r="AP34" s="119"/>
    </row>
    <row r="35" spans="1:42" s="38" customFormat="1" ht="15" customHeight="1" outlineLevel="1" x14ac:dyDescent="0.2">
      <c r="A35" s="212" t="s">
        <v>74</v>
      </c>
      <c r="B35" s="40"/>
      <c r="C35" s="40"/>
      <c r="D35" s="40"/>
      <c r="E35" s="27"/>
      <c r="F35" s="40"/>
      <c r="G35" s="40"/>
      <c r="H35" s="40"/>
      <c r="I35" s="40"/>
      <c r="J35" s="27"/>
      <c r="K35" s="40"/>
      <c r="L35" s="27"/>
      <c r="M35" s="40"/>
      <c r="N35" s="40"/>
      <c r="O35" s="40"/>
      <c r="P35" s="40"/>
      <c r="Q35" s="27"/>
      <c r="R35" s="40"/>
      <c r="S35" s="27"/>
      <c r="T35" s="27"/>
      <c r="U35" s="40"/>
      <c r="V35" s="40"/>
      <c r="W35" s="40"/>
      <c r="X35" s="27"/>
      <c r="Y35" s="40"/>
      <c r="Z35" s="39"/>
      <c r="AA35" s="40"/>
      <c r="AB35" s="40"/>
      <c r="AC35" s="40"/>
      <c r="AD35" s="40"/>
      <c r="AE35" s="27"/>
      <c r="AF35" s="205" t="str">
        <f t="shared" ref="AF35:AF45" si="8">A35</f>
        <v>in</v>
      </c>
      <c r="AG35" s="188"/>
      <c r="AH35" s="213"/>
      <c r="AI35" s="214"/>
      <c r="AJ35" s="209"/>
      <c r="AK35" s="209"/>
      <c r="AL35" s="209"/>
      <c r="AM35" s="208"/>
      <c r="AN35" s="209"/>
      <c r="AO35" s="209"/>
      <c r="AP35" s="119"/>
    </row>
    <row r="36" spans="1:42" s="38" customFormat="1" ht="15" customHeight="1" outlineLevel="1" x14ac:dyDescent="0.2">
      <c r="A36" s="212" t="s">
        <v>75</v>
      </c>
      <c r="B36" s="40"/>
      <c r="C36" s="40"/>
      <c r="D36" s="40"/>
      <c r="E36" s="27"/>
      <c r="F36" s="40"/>
      <c r="G36" s="40"/>
      <c r="H36" s="40"/>
      <c r="I36" s="40"/>
      <c r="J36" s="27"/>
      <c r="K36" s="40"/>
      <c r="L36" s="27"/>
      <c r="M36" s="40"/>
      <c r="N36" s="40"/>
      <c r="O36" s="40"/>
      <c r="P36" s="40"/>
      <c r="Q36" s="27"/>
      <c r="R36" s="40"/>
      <c r="S36" s="27"/>
      <c r="T36" s="27"/>
      <c r="U36" s="40"/>
      <c r="V36" s="40"/>
      <c r="W36" s="40"/>
      <c r="X36" s="27"/>
      <c r="Y36" s="40"/>
      <c r="Z36" s="39"/>
      <c r="AA36" s="40"/>
      <c r="AB36" s="40"/>
      <c r="AC36" s="40"/>
      <c r="AD36" s="40"/>
      <c r="AE36" s="27"/>
      <c r="AF36" s="205" t="str">
        <f t="shared" si="8"/>
        <v>out</v>
      </c>
      <c r="AG36" s="188"/>
      <c r="AH36" s="213"/>
      <c r="AI36" s="214"/>
      <c r="AJ36" s="209"/>
      <c r="AK36" s="209"/>
      <c r="AL36" s="209"/>
      <c r="AM36" s="208"/>
      <c r="AN36" s="209"/>
      <c r="AO36" s="209"/>
      <c r="AP36" s="119"/>
    </row>
    <row r="37" spans="1:42" s="38" customFormat="1" ht="15" customHeight="1" outlineLevel="1" x14ac:dyDescent="0.2">
      <c r="A37" s="212" t="s">
        <v>74</v>
      </c>
      <c r="B37" s="40"/>
      <c r="C37" s="40"/>
      <c r="D37" s="40"/>
      <c r="E37" s="27"/>
      <c r="F37" s="40"/>
      <c r="G37" s="40"/>
      <c r="H37" s="40"/>
      <c r="I37" s="40"/>
      <c r="J37" s="27"/>
      <c r="K37" s="40"/>
      <c r="L37" s="27"/>
      <c r="M37" s="40"/>
      <c r="N37" s="40"/>
      <c r="O37" s="40"/>
      <c r="P37" s="40"/>
      <c r="Q37" s="27"/>
      <c r="R37" s="40"/>
      <c r="S37" s="27"/>
      <c r="T37" s="27"/>
      <c r="U37" s="40"/>
      <c r="V37" s="40"/>
      <c r="W37" s="40"/>
      <c r="X37" s="27"/>
      <c r="Y37" s="40"/>
      <c r="Z37" s="39"/>
      <c r="AA37" s="40"/>
      <c r="AB37" s="40"/>
      <c r="AC37" s="40"/>
      <c r="AD37" s="40"/>
      <c r="AE37" s="27"/>
      <c r="AF37" s="205" t="str">
        <f t="shared" si="8"/>
        <v>in</v>
      </c>
      <c r="AG37" s="188"/>
      <c r="AH37" s="213"/>
      <c r="AI37" s="214"/>
      <c r="AJ37" s="209"/>
      <c r="AK37" s="209"/>
      <c r="AL37" s="209"/>
      <c r="AM37" s="208"/>
      <c r="AN37" s="209"/>
      <c r="AO37" s="209"/>
      <c r="AP37" s="119"/>
    </row>
    <row r="38" spans="1:42" s="38" customFormat="1" ht="15" customHeight="1" outlineLevel="1" x14ac:dyDescent="0.2">
      <c r="A38" s="212" t="s">
        <v>75</v>
      </c>
      <c r="B38" s="40"/>
      <c r="C38" s="40"/>
      <c r="D38" s="40"/>
      <c r="E38" s="27"/>
      <c r="F38" s="40"/>
      <c r="G38" s="40"/>
      <c r="H38" s="40"/>
      <c r="I38" s="40"/>
      <c r="J38" s="27"/>
      <c r="K38" s="40"/>
      <c r="L38" s="27"/>
      <c r="M38" s="40"/>
      <c r="N38" s="40"/>
      <c r="O38" s="40"/>
      <c r="P38" s="40"/>
      <c r="Q38" s="27"/>
      <c r="R38" s="40"/>
      <c r="S38" s="27"/>
      <c r="T38" s="27"/>
      <c r="U38" s="40"/>
      <c r="V38" s="40"/>
      <c r="W38" s="40"/>
      <c r="X38" s="27"/>
      <c r="Y38" s="40"/>
      <c r="Z38" s="39"/>
      <c r="AA38" s="40"/>
      <c r="AB38" s="40"/>
      <c r="AC38" s="40"/>
      <c r="AD38" s="40"/>
      <c r="AE38" s="27"/>
      <c r="AF38" s="205" t="str">
        <f t="shared" si="8"/>
        <v>out</v>
      </c>
      <c r="AG38" s="188"/>
      <c r="AH38" s="213"/>
      <c r="AI38" s="214"/>
      <c r="AJ38" s="209"/>
      <c r="AK38" s="209"/>
      <c r="AL38" s="209"/>
      <c r="AM38" s="208"/>
      <c r="AN38" s="209"/>
      <c r="AO38" s="209"/>
      <c r="AP38" s="119"/>
    </row>
    <row r="39" spans="1:42" s="38" customFormat="1" ht="15" customHeight="1" outlineLevel="1" x14ac:dyDescent="0.2">
      <c r="A39" s="212" t="s">
        <v>74</v>
      </c>
      <c r="B39" s="40"/>
      <c r="C39" s="40"/>
      <c r="D39" s="40"/>
      <c r="E39" s="27"/>
      <c r="F39" s="40"/>
      <c r="G39" s="40"/>
      <c r="H39" s="40"/>
      <c r="I39" s="40"/>
      <c r="J39" s="27"/>
      <c r="K39" s="40"/>
      <c r="L39" s="27"/>
      <c r="M39" s="40"/>
      <c r="N39" s="40"/>
      <c r="O39" s="40"/>
      <c r="P39" s="40"/>
      <c r="Q39" s="27"/>
      <c r="R39" s="40"/>
      <c r="S39" s="27"/>
      <c r="T39" s="27"/>
      <c r="U39" s="40"/>
      <c r="V39" s="40"/>
      <c r="W39" s="40"/>
      <c r="X39" s="27"/>
      <c r="Y39" s="40"/>
      <c r="Z39" s="39"/>
      <c r="AA39" s="40"/>
      <c r="AB39" s="40"/>
      <c r="AC39" s="40"/>
      <c r="AD39" s="40"/>
      <c r="AE39" s="27"/>
      <c r="AF39" s="205" t="str">
        <f t="shared" si="8"/>
        <v>in</v>
      </c>
      <c r="AG39" s="188"/>
      <c r="AH39" s="213"/>
      <c r="AI39" s="214"/>
      <c r="AJ39" s="209"/>
      <c r="AK39" s="209"/>
      <c r="AL39" s="209"/>
      <c r="AM39" s="208"/>
      <c r="AN39" s="209"/>
      <c r="AO39" s="209"/>
      <c r="AP39" s="119"/>
    </row>
    <row r="40" spans="1:42" s="38" customFormat="1" ht="15" customHeight="1" outlineLevel="1" x14ac:dyDescent="0.2">
      <c r="A40" s="212" t="s">
        <v>75</v>
      </c>
      <c r="B40" s="40"/>
      <c r="C40" s="40"/>
      <c r="D40" s="40"/>
      <c r="E40" s="27"/>
      <c r="F40" s="40"/>
      <c r="G40" s="40"/>
      <c r="H40" s="40"/>
      <c r="I40" s="40"/>
      <c r="J40" s="27"/>
      <c r="K40" s="40"/>
      <c r="L40" s="27"/>
      <c r="M40" s="40"/>
      <c r="N40" s="40"/>
      <c r="O40" s="40"/>
      <c r="P40" s="40"/>
      <c r="Q40" s="27"/>
      <c r="R40" s="40"/>
      <c r="S40" s="27"/>
      <c r="T40" s="27"/>
      <c r="U40" s="40"/>
      <c r="V40" s="40"/>
      <c r="W40" s="40"/>
      <c r="X40" s="27"/>
      <c r="Y40" s="40"/>
      <c r="Z40" s="39"/>
      <c r="AA40" s="40"/>
      <c r="AB40" s="40"/>
      <c r="AC40" s="40"/>
      <c r="AD40" s="40"/>
      <c r="AE40" s="27"/>
      <c r="AF40" s="205" t="str">
        <f t="shared" si="8"/>
        <v>out</v>
      </c>
      <c r="AG40" s="188"/>
      <c r="AH40" s="213"/>
      <c r="AI40" s="214"/>
      <c r="AJ40" s="209"/>
      <c r="AK40" s="209"/>
      <c r="AL40" s="209"/>
      <c r="AM40" s="208"/>
      <c r="AN40" s="209"/>
      <c r="AO40" s="209"/>
      <c r="AP40" s="119"/>
    </row>
    <row r="41" spans="1:42" s="38" customFormat="1" ht="15" hidden="1" customHeight="1" outlineLevel="1" x14ac:dyDescent="0.2">
      <c r="A41" s="212" t="s">
        <v>74</v>
      </c>
      <c r="B41" s="40"/>
      <c r="C41" s="40"/>
      <c r="D41" s="40"/>
      <c r="E41" s="27"/>
      <c r="F41" s="40"/>
      <c r="G41" s="40"/>
      <c r="H41" s="40"/>
      <c r="I41" s="40"/>
      <c r="J41" s="27"/>
      <c r="K41" s="40"/>
      <c r="L41" s="27"/>
      <c r="M41" s="40"/>
      <c r="N41" s="40"/>
      <c r="O41" s="40"/>
      <c r="P41" s="40"/>
      <c r="Q41" s="27"/>
      <c r="R41" s="40"/>
      <c r="S41" s="27"/>
      <c r="T41" s="27"/>
      <c r="U41" s="40"/>
      <c r="V41" s="40"/>
      <c r="W41" s="40"/>
      <c r="X41" s="27"/>
      <c r="Y41" s="40"/>
      <c r="Z41" s="39"/>
      <c r="AA41" s="40"/>
      <c r="AB41" s="40"/>
      <c r="AC41" s="40"/>
      <c r="AD41" s="40"/>
      <c r="AE41" s="27"/>
      <c r="AF41" s="205" t="str">
        <f t="shared" si="8"/>
        <v>in</v>
      </c>
      <c r="AG41" s="188"/>
      <c r="AH41" s="213"/>
      <c r="AI41" s="214"/>
      <c r="AJ41" s="209"/>
      <c r="AK41" s="209"/>
      <c r="AL41" s="209"/>
      <c r="AM41" s="208"/>
      <c r="AN41" s="209"/>
      <c r="AO41" s="209"/>
      <c r="AP41" s="119"/>
    </row>
    <row r="42" spans="1:42" s="38" customFormat="1" ht="15" hidden="1" customHeight="1" outlineLevel="1" x14ac:dyDescent="0.2">
      <c r="A42" s="212" t="s">
        <v>75</v>
      </c>
      <c r="B42" s="40"/>
      <c r="C42" s="40"/>
      <c r="D42" s="40"/>
      <c r="E42" s="27"/>
      <c r="F42" s="40"/>
      <c r="G42" s="40"/>
      <c r="H42" s="40"/>
      <c r="I42" s="40"/>
      <c r="J42" s="27"/>
      <c r="K42" s="40"/>
      <c r="L42" s="27"/>
      <c r="M42" s="40"/>
      <c r="N42" s="40"/>
      <c r="O42" s="40"/>
      <c r="P42" s="40"/>
      <c r="Q42" s="27"/>
      <c r="R42" s="40"/>
      <c r="S42" s="27"/>
      <c r="T42" s="27"/>
      <c r="U42" s="40"/>
      <c r="V42" s="40"/>
      <c r="W42" s="40"/>
      <c r="X42" s="27"/>
      <c r="Y42" s="40"/>
      <c r="Z42" s="39"/>
      <c r="AA42" s="40"/>
      <c r="AB42" s="40"/>
      <c r="AC42" s="40"/>
      <c r="AD42" s="40"/>
      <c r="AE42" s="27"/>
      <c r="AF42" s="205" t="str">
        <f t="shared" si="8"/>
        <v>out</v>
      </c>
      <c r="AG42" s="188"/>
      <c r="AH42" s="213"/>
      <c r="AI42" s="214"/>
      <c r="AJ42" s="209"/>
      <c r="AK42" s="209"/>
      <c r="AL42" s="209"/>
      <c r="AM42" s="208"/>
      <c r="AN42" s="209"/>
      <c r="AO42" s="209"/>
      <c r="AP42" s="119"/>
    </row>
    <row r="43" spans="1:42" s="38" customFormat="1" ht="15" hidden="1" customHeight="1" outlineLevel="1" x14ac:dyDescent="0.2">
      <c r="A43" s="212" t="s">
        <v>74</v>
      </c>
      <c r="B43" s="40"/>
      <c r="C43" s="40"/>
      <c r="D43" s="40"/>
      <c r="E43" s="27"/>
      <c r="F43" s="40"/>
      <c r="G43" s="40"/>
      <c r="H43" s="40"/>
      <c r="I43" s="40"/>
      <c r="J43" s="27"/>
      <c r="K43" s="40"/>
      <c r="L43" s="27"/>
      <c r="M43" s="40"/>
      <c r="N43" s="40"/>
      <c r="O43" s="40"/>
      <c r="P43" s="40"/>
      <c r="Q43" s="27"/>
      <c r="R43" s="40"/>
      <c r="S43" s="27"/>
      <c r="T43" s="27"/>
      <c r="U43" s="40"/>
      <c r="V43" s="40"/>
      <c r="W43" s="40"/>
      <c r="X43" s="27"/>
      <c r="Y43" s="40"/>
      <c r="Z43" s="39"/>
      <c r="AA43" s="40"/>
      <c r="AB43" s="40"/>
      <c r="AC43" s="40"/>
      <c r="AD43" s="40"/>
      <c r="AE43" s="27"/>
      <c r="AF43" s="205" t="str">
        <f t="shared" si="8"/>
        <v>in</v>
      </c>
      <c r="AG43" s="188"/>
      <c r="AH43" s="213"/>
      <c r="AI43" s="214"/>
      <c r="AJ43" s="209"/>
      <c r="AK43" s="209"/>
      <c r="AL43" s="209"/>
      <c r="AM43" s="208"/>
      <c r="AN43" s="209"/>
      <c r="AO43" s="209"/>
      <c r="AP43" s="119"/>
    </row>
    <row r="44" spans="1:42" s="38" customFormat="1" ht="15" hidden="1" customHeight="1" outlineLevel="1" x14ac:dyDescent="0.2">
      <c r="A44" s="212" t="s">
        <v>75</v>
      </c>
      <c r="B44" s="40"/>
      <c r="C44" s="40"/>
      <c r="D44" s="40"/>
      <c r="E44" s="27"/>
      <c r="F44" s="40"/>
      <c r="G44" s="40"/>
      <c r="H44" s="40"/>
      <c r="I44" s="40"/>
      <c r="J44" s="27"/>
      <c r="K44" s="40"/>
      <c r="L44" s="27"/>
      <c r="M44" s="40"/>
      <c r="N44" s="40"/>
      <c r="O44" s="40"/>
      <c r="P44" s="40"/>
      <c r="Q44" s="27"/>
      <c r="R44" s="40"/>
      <c r="S44" s="27"/>
      <c r="T44" s="27"/>
      <c r="U44" s="40"/>
      <c r="V44" s="40"/>
      <c r="W44" s="40"/>
      <c r="X44" s="27"/>
      <c r="Y44" s="40"/>
      <c r="Z44" s="39"/>
      <c r="AA44" s="40"/>
      <c r="AB44" s="40"/>
      <c r="AC44" s="40"/>
      <c r="AD44" s="40"/>
      <c r="AE44" s="27"/>
      <c r="AF44" s="205" t="str">
        <f t="shared" si="8"/>
        <v>out</v>
      </c>
      <c r="AG44" s="188"/>
      <c r="AH44" s="213"/>
      <c r="AI44" s="214"/>
      <c r="AJ44" s="209"/>
      <c r="AK44" s="209"/>
      <c r="AL44" s="209"/>
      <c r="AM44" s="208"/>
      <c r="AN44" s="209"/>
      <c r="AO44" s="209"/>
      <c r="AP44" s="119"/>
    </row>
    <row r="45" spans="1:42" s="38" customFormat="1" ht="15" customHeight="1" outlineLevel="1" x14ac:dyDescent="0.2">
      <c r="A45" s="215" t="s">
        <v>207</v>
      </c>
      <c r="B45" s="216">
        <f>ROUND(((B36-B35)+(B38-B37)+(B40-B39)+(B42-B41)+(B44-B43))*1440,0)/1440</f>
        <v>0</v>
      </c>
      <c r="C45" s="216">
        <f t="shared" ref="C45:AE45" si="9">ROUND(((C36-C35)+(C38-C37)+(C40-C39)+(C42-C41)+(C44-C43))*1440,0)/1440</f>
        <v>0</v>
      </c>
      <c r="D45" s="216">
        <f t="shared" si="9"/>
        <v>0</v>
      </c>
      <c r="E45" s="216">
        <f t="shared" si="9"/>
        <v>0</v>
      </c>
      <c r="F45" s="216">
        <f t="shared" si="9"/>
        <v>0</v>
      </c>
      <c r="G45" s="216">
        <f t="shared" si="9"/>
        <v>0</v>
      </c>
      <c r="H45" s="216">
        <f t="shared" si="9"/>
        <v>0</v>
      </c>
      <c r="I45" s="216">
        <f t="shared" si="9"/>
        <v>0</v>
      </c>
      <c r="J45" s="216">
        <f t="shared" si="9"/>
        <v>0</v>
      </c>
      <c r="K45" s="216">
        <f t="shared" si="9"/>
        <v>0</v>
      </c>
      <c r="L45" s="216">
        <f t="shared" si="9"/>
        <v>0</v>
      </c>
      <c r="M45" s="216">
        <f t="shared" si="9"/>
        <v>0</v>
      </c>
      <c r="N45" s="216">
        <f t="shared" si="9"/>
        <v>0</v>
      </c>
      <c r="O45" s="216">
        <f t="shared" si="9"/>
        <v>0</v>
      </c>
      <c r="P45" s="216">
        <f t="shared" si="9"/>
        <v>0</v>
      </c>
      <c r="Q45" s="216">
        <f t="shared" si="9"/>
        <v>0</v>
      </c>
      <c r="R45" s="216">
        <f t="shared" si="9"/>
        <v>0</v>
      </c>
      <c r="S45" s="216">
        <f t="shared" si="9"/>
        <v>0</v>
      </c>
      <c r="T45" s="216">
        <f t="shared" si="9"/>
        <v>0</v>
      </c>
      <c r="U45" s="216">
        <f t="shared" si="9"/>
        <v>0</v>
      </c>
      <c r="V45" s="216">
        <f t="shared" si="9"/>
        <v>0</v>
      </c>
      <c r="W45" s="216">
        <f t="shared" si="9"/>
        <v>0</v>
      </c>
      <c r="X45" s="216">
        <f t="shared" si="9"/>
        <v>0</v>
      </c>
      <c r="Y45" s="216">
        <f t="shared" si="9"/>
        <v>0</v>
      </c>
      <c r="Z45" s="216">
        <f t="shared" si="9"/>
        <v>0</v>
      </c>
      <c r="AA45" s="216">
        <f t="shared" si="9"/>
        <v>0</v>
      </c>
      <c r="AB45" s="216">
        <f t="shared" si="9"/>
        <v>0</v>
      </c>
      <c r="AC45" s="216">
        <f t="shared" si="9"/>
        <v>0</v>
      </c>
      <c r="AD45" s="216">
        <f t="shared" si="9"/>
        <v>0</v>
      </c>
      <c r="AE45" s="216">
        <f t="shared" si="9"/>
        <v>0</v>
      </c>
      <c r="AF45" s="217" t="str">
        <f t="shared" si="8"/>
        <v>Total on call standby in/out</v>
      </c>
      <c r="AG45" s="218"/>
      <c r="AH45" s="219">
        <f>SUM(B45:AE45)</f>
        <v>0</v>
      </c>
      <c r="AI45" s="214"/>
      <c r="AJ45" s="209"/>
      <c r="AK45" s="209"/>
      <c r="AL45" s="209"/>
      <c r="AM45" s="208"/>
      <c r="AN45" s="209"/>
      <c r="AO45" s="209"/>
      <c r="AP45" s="119"/>
    </row>
    <row r="46" spans="1:42" s="38" customFormat="1" ht="3.75" customHeight="1" x14ac:dyDescent="0.2">
      <c r="A46" s="220"/>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205"/>
      <c r="AG46" s="188"/>
      <c r="AH46" s="213"/>
      <c r="AI46" s="214"/>
      <c r="AJ46" s="209"/>
      <c r="AK46" s="209"/>
      <c r="AL46" s="209"/>
      <c r="AM46" s="208"/>
      <c r="AN46" s="209"/>
      <c r="AO46" s="209"/>
      <c r="AP46" s="119"/>
    </row>
    <row r="47" spans="1:42" s="38" customFormat="1" ht="16.5" hidden="1" customHeight="1" outlineLevel="1" x14ac:dyDescent="0.2">
      <c r="A47" s="215" t="s">
        <v>209</v>
      </c>
      <c r="B47" s="216">
        <f t="shared" ref="B47:AE47" si="10">IF(B45&gt;0,ROUND((B45-
IF(B35&lt;T.PikettVetsuissebis,MIN(T.PikettVetsuissebis-B35,B36-B35)+IF(B37&lt;T.PikettVetsuissebis,MIN(T.PikettVetsuissebis-B37,B38-B37)+IF(B39&lt;T.PikettVetsuissebis,MIN(T.PikettVetsuissebis-B39,B40-B39)+IF(B41&lt;T.PikettVetsuissebis,MIN(T.PikettVetsuissebis-B41,B42-B41)+IF(B43&lt;T.PikettVetsuissebis,MIN(T.PikettVetsuissebis-B43,B44-B43),0),0),0),0),0))*1440,0)/1440,0)</f>
        <v>0</v>
      </c>
      <c r="C47" s="216">
        <f t="shared" si="10"/>
        <v>0</v>
      </c>
      <c r="D47" s="216">
        <f t="shared" si="10"/>
        <v>0</v>
      </c>
      <c r="E47" s="216">
        <f t="shared" si="10"/>
        <v>0</v>
      </c>
      <c r="F47" s="216">
        <f t="shared" si="10"/>
        <v>0</v>
      </c>
      <c r="G47" s="216">
        <f t="shared" si="10"/>
        <v>0</v>
      </c>
      <c r="H47" s="216">
        <f t="shared" si="10"/>
        <v>0</v>
      </c>
      <c r="I47" s="216">
        <f t="shared" si="10"/>
        <v>0</v>
      </c>
      <c r="J47" s="216">
        <f t="shared" si="10"/>
        <v>0</v>
      </c>
      <c r="K47" s="216">
        <f t="shared" si="10"/>
        <v>0</v>
      </c>
      <c r="L47" s="216">
        <f t="shared" si="10"/>
        <v>0</v>
      </c>
      <c r="M47" s="216">
        <f t="shared" si="10"/>
        <v>0</v>
      </c>
      <c r="N47" s="216">
        <f t="shared" si="10"/>
        <v>0</v>
      </c>
      <c r="O47" s="216">
        <f t="shared" si="10"/>
        <v>0</v>
      </c>
      <c r="P47" s="216">
        <f t="shared" si="10"/>
        <v>0</v>
      </c>
      <c r="Q47" s="216">
        <f t="shared" si="10"/>
        <v>0</v>
      </c>
      <c r="R47" s="216">
        <f t="shared" si="10"/>
        <v>0</v>
      </c>
      <c r="S47" s="216">
        <f t="shared" si="10"/>
        <v>0</v>
      </c>
      <c r="T47" s="216">
        <f t="shared" si="10"/>
        <v>0</v>
      </c>
      <c r="U47" s="216">
        <f t="shared" si="10"/>
        <v>0</v>
      </c>
      <c r="V47" s="216">
        <f t="shared" si="10"/>
        <v>0</v>
      </c>
      <c r="W47" s="216">
        <f t="shared" si="10"/>
        <v>0</v>
      </c>
      <c r="X47" s="216">
        <f t="shared" si="10"/>
        <v>0</v>
      </c>
      <c r="Y47" s="216">
        <f t="shared" si="10"/>
        <v>0</v>
      </c>
      <c r="Z47" s="216">
        <f t="shared" si="10"/>
        <v>0</v>
      </c>
      <c r="AA47" s="216">
        <f t="shared" si="10"/>
        <v>0</v>
      </c>
      <c r="AB47" s="216">
        <f t="shared" si="10"/>
        <v>0</v>
      </c>
      <c r="AC47" s="216">
        <f t="shared" si="10"/>
        <v>0</v>
      </c>
      <c r="AD47" s="216">
        <f t="shared" si="10"/>
        <v>0</v>
      </c>
      <c r="AE47" s="216">
        <f t="shared" si="10"/>
        <v>0</v>
      </c>
      <c r="AF47" s="217" t="str">
        <f>A47</f>
        <v>Total on call hours today</v>
      </c>
      <c r="AG47" s="188"/>
      <c r="AH47" s="213"/>
      <c r="AI47" s="214"/>
      <c r="AJ47" s="209"/>
      <c r="AK47" s="209"/>
      <c r="AL47" s="209"/>
      <c r="AM47" s="208"/>
      <c r="AN47" s="209"/>
      <c r="AO47" s="209"/>
      <c r="AP47" s="119"/>
    </row>
    <row r="48" spans="1:42" s="38" customFormat="1" ht="16.5" hidden="1" customHeight="1" outlineLevel="1" x14ac:dyDescent="0.2">
      <c r="A48" s="215" t="s">
        <v>208</v>
      </c>
      <c r="B48" s="225">
        <f t="shared" ref="B48:AE48" si="11">B45-B47</f>
        <v>0</v>
      </c>
      <c r="C48" s="225">
        <f t="shared" si="11"/>
        <v>0</v>
      </c>
      <c r="D48" s="225">
        <f t="shared" si="11"/>
        <v>0</v>
      </c>
      <c r="E48" s="225">
        <f t="shared" si="11"/>
        <v>0</v>
      </c>
      <c r="F48" s="225">
        <f t="shared" si="11"/>
        <v>0</v>
      </c>
      <c r="G48" s="225">
        <f t="shared" si="11"/>
        <v>0</v>
      </c>
      <c r="H48" s="225">
        <f t="shared" si="11"/>
        <v>0</v>
      </c>
      <c r="I48" s="225">
        <f t="shared" si="11"/>
        <v>0</v>
      </c>
      <c r="J48" s="225">
        <f t="shared" si="11"/>
        <v>0</v>
      </c>
      <c r="K48" s="225">
        <f t="shared" si="11"/>
        <v>0</v>
      </c>
      <c r="L48" s="225">
        <f t="shared" si="11"/>
        <v>0</v>
      </c>
      <c r="M48" s="225">
        <f t="shared" si="11"/>
        <v>0</v>
      </c>
      <c r="N48" s="225">
        <f t="shared" si="11"/>
        <v>0</v>
      </c>
      <c r="O48" s="225">
        <f t="shared" si="11"/>
        <v>0</v>
      </c>
      <c r="P48" s="225">
        <f t="shared" si="11"/>
        <v>0</v>
      </c>
      <c r="Q48" s="225">
        <f t="shared" si="11"/>
        <v>0</v>
      </c>
      <c r="R48" s="225">
        <f t="shared" si="11"/>
        <v>0</v>
      </c>
      <c r="S48" s="225">
        <f t="shared" si="11"/>
        <v>0</v>
      </c>
      <c r="T48" s="225">
        <f t="shared" si="11"/>
        <v>0</v>
      </c>
      <c r="U48" s="225">
        <f t="shared" si="11"/>
        <v>0</v>
      </c>
      <c r="V48" s="225">
        <f t="shared" si="11"/>
        <v>0</v>
      </c>
      <c r="W48" s="225">
        <f t="shared" si="11"/>
        <v>0</v>
      </c>
      <c r="X48" s="225">
        <f t="shared" si="11"/>
        <v>0</v>
      </c>
      <c r="Y48" s="225">
        <f t="shared" si="11"/>
        <v>0</v>
      </c>
      <c r="Z48" s="225">
        <f t="shared" si="11"/>
        <v>0</v>
      </c>
      <c r="AA48" s="225">
        <f t="shared" si="11"/>
        <v>0</v>
      </c>
      <c r="AB48" s="225">
        <f t="shared" si="11"/>
        <v>0</v>
      </c>
      <c r="AC48" s="225">
        <f t="shared" si="11"/>
        <v>0</v>
      </c>
      <c r="AD48" s="225">
        <f t="shared" si="11"/>
        <v>0</v>
      </c>
      <c r="AE48" s="225">
        <f t="shared" si="11"/>
        <v>0</v>
      </c>
      <c r="AF48" s="217" t="str">
        <f>A48</f>
        <v>Total on call hours yesterday</v>
      </c>
      <c r="AG48" s="188"/>
      <c r="AH48" s="213"/>
      <c r="AI48" s="214"/>
      <c r="AJ48" s="209"/>
      <c r="AK48" s="209"/>
      <c r="AL48" s="230">
        <f ca="1">IF(EB.Anwendung&lt;&gt;"",IF(MONTH(Monat.Tag1)=12,0,IF(MONTH(Monat.Tag1)=1,February!Monat.PikettgesternTag1,IF(MONTH(Monat.Tag1)=2,March!Monat.PikettgesternTag1,IF(MONTH(Monat.Tag1)=3,April!Monat.PikettgesternTag1,IF(MONTH(Monat.Tag1)=4,May!Monat.PikettgesternTag1,IF(MONTH(Monat.Tag1)=5,June!Monat.PikettgesternTag1,IF(MONTH(Monat.Tag1)=6,July!Monat.PikettgesternTag1,IF(MONTH(Monat.Tag1)=7,August!Monat.PikettgesternTag1,IF(MONTH(Monat.Tag1)=8,September!Monat.PikettgesternTag1,IF(MONTH(Monat.Tag1)=9,October!Monat.PikettgesternTag1,IF(MONTH(Monat.Tag1)=10,November!Monat.PikettgesternTag1,IF(MONTH(Monat.Tag1)=11,December!Monat.PikettgesternTag1,"")))))))))))),"")</f>
        <v>0</v>
      </c>
      <c r="AM48" s="208"/>
      <c r="AN48" s="209"/>
      <c r="AO48" s="209"/>
      <c r="AP48" s="119"/>
    </row>
    <row r="49" spans="1:42" s="38" customFormat="1" ht="16.5" hidden="1" customHeight="1" outlineLevel="1" x14ac:dyDescent="0.2">
      <c r="A49" s="215" t="s">
        <v>210</v>
      </c>
      <c r="B49" s="216">
        <f t="shared" ref="B49:AD49" si="12">B47+IF(B$10=EOMONTH(B$10,0),$AL48,C48)</f>
        <v>0</v>
      </c>
      <c r="C49" s="216">
        <f t="shared" si="12"/>
        <v>0</v>
      </c>
      <c r="D49" s="216">
        <f t="shared" si="12"/>
        <v>0</v>
      </c>
      <c r="E49" s="216">
        <f t="shared" si="12"/>
        <v>0</v>
      </c>
      <c r="F49" s="216">
        <f t="shared" si="12"/>
        <v>0</v>
      </c>
      <c r="G49" s="216">
        <f t="shared" si="12"/>
        <v>0</v>
      </c>
      <c r="H49" s="216">
        <f t="shared" si="12"/>
        <v>0</v>
      </c>
      <c r="I49" s="216">
        <f t="shared" si="12"/>
        <v>0</v>
      </c>
      <c r="J49" s="216">
        <f t="shared" si="12"/>
        <v>0</v>
      </c>
      <c r="K49" s="216">
        <f t="shared" si="12"/>
        <v>0</v>
      </c>
      <c r="L49" s="216">
        <f t="shared" si="12"/>
        <v>0</v>
      </c>
      <c r="M49" s="216">
        <f t="shared" si="12"/>
        <v>0</v>
      </c>
      <c r="N49" s="216">
        <f t="shared" si="12"/>
        <v>0</v>
      </c>
      <c r="O49" s="216">
        <f t="shared" si="12"/>
        <v>0</v>
      </c>
      <c r="P49" s="216">
        <f t="shared" si="12"/>
        <v>0</v>
      </c>
      <c r="Q49" s="216">
        <f t="shared" si="12"/>
        <v>0</v>
      </c>
      <c r="R49" s="216">
        <f t="shared" si="12"/>
        <v>0</v>
      </c>
      <c r="S49" s="216">
        <f t="shared" si="12"/>
        <v>0</v>
      </c>
      <c r="T49" s="216">
        <f t="shared" si="12"/>
        <v>0</v>
      </c>
      <c r="U49" s="216">
        <f t="shared" si="12"/>
        <v>0</v>
      </c>
      <c r="V49" s="216">
        <f t="shared" si="12"/>
        <v>0</v>
      </c>
      <c r="W49" s="216">
        <f t="shared" si="12"/>
        <v>0</v>
      </c>
      <c r="X49" s="216">
        <f t="shared" si="12"/>
        <v>0</v>
      </c>
      <c r="Y49" s="216">
        <f t="shared" si="12"/>
        <v>0</v>
      </c>
      <c r="Z49" s="216">
        <f t="shared" si="12"/>
        <v>0</v>
      </c>
      <c r="AA49" s="216">
        <f t="shared" si="12"/>
        <v>0</v>
      </c>
      <c r="AB49" s="216">
        <f t="shared" si="12"/>
        <v>0</v>
      </c>
      <c r="AC49" s="216">
        <f t="shared" si="12"/>
        <v>0</v>
      </c>
      <c r="AD49" s="216">
        <f t="shared" si="12"/>
        <v>0</v>
      </c>
      <c r="AE49" s="216">
        <f ca="1">AE47+IF(AE$10=EOMONTH(AE$10,0),$AL48,#REF!)</f>
        <v>0</v>
      </c>
      <c r="AF49" s="217" t="str">
        <f>A49</f>
        <v>Total on call standby hours</v>
      </c>
      <c r="AG49" s="218"/>
      <c r="AH49" s="219">
        <f ca="1">SUM(B49:AE49)</f>
        <v>0</v>
      </c>
      <c r="AI49" s="214"/>
      <c r="AJ49" s="209"/>
      <c r="AK49" s="209"/>
      <c r="AL49" s="209"/>
      <c r="AM49" s="208"/>
      <c r="AN49" s="209"/>
      <c r="AO49" s="209"/>
      <c r="AP49" s="119"/>
    </row>
    <row r="50" spans="1:42" s="38" customFormat="1" ht="3.75" customHeight="1" collapsed="1" x14ac:dyDescent="0.2">
      <c r="A50" s="231"/>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32"/>
      <c r="AG50" s="233"/>
      <c r="AH50" s="222"/>
      <c r="AI50" s="214"/>
      <c r="AJ50" s="209"/>
      <c r="AK50" s="209"/>
      <c r="AL50" s="209"/>
      <c r="AM50" s="208"/>
      <c r="AN50" s="209"/>
      <c r="AO50" s="209"/>
      <c r="AP50" s="119"/>
    </row>
    <row r="51" spans="1:42" s="38" customFormat="1" ht="15" customHeight="1" x14ac:dyDescent="0.2">
      <c r="A51" s="215" t="s">
        <v>76</v>
      </c>
      <c r="B51" s="234">
        <f>ROUND((B23+B45+B84+SUM(B86:B95)+IF(OR(T.50_Vetsuisse,T.ServiceCenterIrchel),B71,0))*1440,0)/1440</f>
        <v>0</v>
      </c>
      <c r="C51" s="234">
        <f t="shared" ref="C51:AE51" si="13">ROUND((C23+C45+C84+SUM(C86:C95)+IF(OR(T.50_Vetsuisse,T.ServiceCenterIrchel),C71,0))*1440,0)/1440</f>
        <v>0</v>
      </c>
      <c r="D51" s="234">
        <f t="shared" si="13"/>
        <v>0</v>
      </c>
      <c r="E51" s="235">
        <f t="shared" si="13"/>
        <v>0</v>
      </c>
      <c r="F51" s="234">
        <f t="shared" si="13"/>
        <v>0</v>
      </c>
      <c r="G51" s="234">
        <f t="shared" si="13"/>
        <v>0</v>
      </c>
      <c r="H51" s="234">
        <f t="shared" si="13"/>
        <v>0</v>
      </c>
      <c r="I51" s="234">
        <f t="shared" si="13"/>
        <v>0</v>
      </c>
      <c r="J51" s="236">
        <f t="shared" si="13"/>
        <v>0</v>
      </c>
      <c r="K51" s="234">
        <f t="shared" si="13"/>
        <v>0</v>
      </c>
      <c r="L51" s="236">
        <f t="shared" si="13"/>
        <v>0</v>
      </c>
      <c r="M51" s="234">
        <f t="shared" si="13"/>
        <v>0</v>
      </c>
      <c r="N51" s="234">
        <f t="shared" si="13"/>
        <v>0</v>
      </c>
      <c r="O51" s="234">
        <f t="shared" si="13"/>
        <v>0</v>
      </c>
      <c r="P51" s="234">
        <f t="shared" si="13"/>
        <v>0</v>
      </c>
      <c r="Q51" s="236">
        <f t="shared" si="13"/>
        <v>0</v>
      </c>
      <c r="R51" s="234">
        <f t="shared" si="13"/>
        <v>0</v>
      </c>
      <c r="S51" s="236">
        <f t="shared" si="13"/>
        <v>0</v>
      </c>
      <c r="T51" s="236">
        <f t="shared" si="13"/>
        <v>0</v>
      </c>
      <c r="U51" s="234">
        <f t="shared" si="13"/>
        <v>0</v>
      </c>
      <c r="V51" s="234">
        <f t="shared" si="13"/>
        <v>0</v>
      </c>
      <c r="W51" s="234">
        <f t="shared" si="13"/>
        <v>0</v>
      </c>
      <c r="X51" s="236">
        <f t="shared" si="13"/>
        <v>0</v>
      </c>
      <c r="Y51" s="234">
        <f t="shared" si="13"/>
        <v>0</v>
      </c>
      <c r="Z51" s="237">
        <f t="shared" si="13"/>
        <v>0</v>
      </c>
      <c r="AA51" s="234">
        <f t="shared" si="13"/>
        <v>0</v>
      </c>
      <c r="AB51" s="234">
        <f t="shared" si="13"/>
        <v>0</v>
      </c>
      <c r="AC51" s="234">
        <f t="shared" si="13"/>
        <v>0</v>
      </c>
      <c r="AD51" s="234">
        <f t="shared" si="13"/>
        <v>0</v>
      </c>
      <c r="AE51" s="236">
        <f t="shared" si="13"/>
        <v>0</v>
      </c>
      <c r="AF51" s="217" t="str">
        <f t="shared" ref="AF51:AF56" si="14">A51</f>
        <v>Actual hours worked</v>
      </c>
      <c r="AG51" s="218"/>
      <c r="AH51" s="238">
        <f>SUM(B51:AE51)</f>
        <v>0</v>
      </c>
      <c r="AI51" s="214"/>
      <c r="AJ51" s="209"/>
      <c r="AK51" s="209"/>
      <c r="AL51" s="209"/>
      <c r="AM51" s="239">
        <f ca="1">IF(WEEKDAY(EOMONTH(Monat.Tag1,0),2)=7,0,MAX(0,SUM(OFFSET(B51,0,DAY(EOMONTH(Monat.Tag1,0))-WEEKDAY(EOMONTH(Monat.Tag1,0),2),1,WEEKDAY(EOMONTH(Monat.Tag1,0),2)))))</f>
        <v>0</v>
      </c>
      <c r="AN51" s="209"/>
      <c r="AO51" s="209"/>
      <c r="AP51" s="119"/>
    </row>
    <row r="52" spans="1:42" s="38" customFormat="1" ht="15" customHeight="1" outlineLevel="1" x14ac:dyDescent="0.2">
      <c r="A52" s="212" t="s">
        <v>211</v>
      </c>
      <c r="B52" s="78">
        <f t="shared" ref="B52:AE52" ca="1" si="15">IF(B$12=0,0,ROUND(INDEX(Monat.RAZ1_7.Bereich,WEEKDAY(B$10,2))*B$11*1440,0)/1440)</f>
        <v>0.35</v>
      </c>
      <c r="C52" s="78">
        <f t="shared" ca="1" si="15"/>
        <v>0.35</v>
      </c>
      <c r="D52" s="79">
        <f t="shared" ca="1" si="15"/>
        <v>0.35</v>
      </c>
      <c r="E52" s="78">
        <f t="shared" ca="1" si="15"/>
        <v>0.35</v>
      </c>
      <c r="F52" s="79">
        <f t="shared" ca="1" si="15"/>
        <v>0</v>
      </c>
      <c r="G52" s="79">
        <f t="shared" ca="1" si="15"/>
        <v>0</v>
      </c>
      <c r="H52" s="79">
        <f t="shared" ca="1" si="15"/>
        <v>0.35</v>
      </c>
      <c r="I52" s="79">
        <f t="shared" ca="1" si="15"/>
        <v>0.35</v>
      </c>
      <c r="J52" s="78">
        <f t="shared" ca="1" si="15"/>
        <v>0.35</v>
      </c>
      <c r="K52" s="79">
        <f t="shared" ca="1" si="15"/>
        <v>0.35</v>
      </c>
      <c r="L52" s="78">
        <f t="shared" ca="1" si="15"/>
        <v>0.35</v>
      </c>
      <c r="M52" s="79">
        <f t="shared" ca="1" si="15"/>
        <v>0</v>
      </c>
      <c r="N52" s="79">
        <f t="shared" ca="1" si="15"/>
        <v>0</v>
      </c>
      <c r="O52" s="79">
        <f t="shared" ca="1" si="15"/>
        <v>0.17499999999999999</v>
      </c>
      <c r="P52" s="79">
        <f t="shared" ca="1" si="15"/>
        <v>0.35</v>
      </c>
      <c r="Q52" s="78">
        <f t="shared" ca="1" si="15"/>
        <v>0.35</v>
      </c>
      <c r="R52" s="79">
        <f t="shared" ca="1" si="15"/>
        <v>0.35</v>
      </c>
      <c r="S52" s="78">
        <f t="shared" ca="1" si="15"/>
        <v>0.35</v>
      </c>
      <c r="T52" s="78">
        <f t="shared" ca="1" si="15"/>
        <v>0</v>
      </c>
      <c r="U52" s="79">
        <f t="shared" ca="1" si="15"/>
        <v>0</v>
      </c>
      <c r="V52" s="79">
        <f t="shared" ca="1" si="15"/>
        <v>0.35</v>
      </c>
      <c r="W52" s="79">
        <f t="shared" ca="1" si="15"/>
        <v>0.35</v>
      </c>
      <c r="X52" s="78">
        <f t="shared" ca="1" si="15"/>
        <v>0.35</v>
      </c>
      <c r="Y52" s="79">
        <f t="shared" ca="1" si="15"/>
        <v>0.35</v>
      </c>
      <c r="Z52" s="80">
        <f t="shared" ca="1" si="15"/>
        <v>0.35</v>
      </c>
      <c r="AA52" s="79">
        <f t="shared" ca="1" si="15"/>
        <v>0</v>
      </c>
      <c r="AB52" s="79">
        <f t="shared" ca="1" si="15"/>
        <v>0</v>
      </c>
      <c r="AC52" s="79">
        <f t="shared" ca="1" si="15"/>
        <v>0.35</v>
      </c>
      <c r="AD52" s="79">
        <f t="shared" ca="1" si="15"/>
        <v>0.35</v>
      </c>
      <c r="AE52" s="78">
        <f t="shared" ca="1" si="15"/>
        <v>0.35</v>
      </c>
      <c r="AF52" s="240" t="str">
        <f t="shared" si="14"/>
        <v>Standardized hours (Info)</v>
      </c>
      <c r="AG52" s="218"/>
      <c r="AH52" s="213"/>
      <c r="AI52" s="214"/>
      <c r="AJ52" s="209"/>
      <c r="AK52" s="209"/>
      <c r="AL52" s="209"/>
      <c r="AM52" s="208"/>
      <c r="AN52" s="209"/>
      <c r="AO52" s="209"/>
      <c r="AP52" s="119"/>
    </row>
    <row r="53" spans="1:42" s="38" customFormat="1" ht="15" customHeight="1" x14ac:dyDescent="0.2">
      <c r="A53" s="212" t="s">
        <v>212</v>
      </c>
      <c r="B53" s="241">
        <f t="shared" ref="B53:AE53" ca="1" si="16">IF(B$12=0,0,ROUND(INDEX(EB.AZSOLLTag100.Bereich,MATCH(INDEX(EB.Monate.Bereich,MONTH(Monat.Tag1)),EB.Monate.Bereich,0))*B$11*IF(WEEKDAY(B$10,2)&gt;5,0,1)*$V$2/100*1440,0)/1440)</f>
        <v>0.35</v>
      </c>
      <c r="C53" s="241">
        <f t="shared" ca="1" si="16"/>
        <v>0.35</v>
      </c>
      <c r="D53" s="241">
        <f t="shared" ca="1" si="16"/>
        <v>0.35</v>
      </c>
      <c r="E53" s="241">
        <f t="shared" ca="1" si="16"/>
        <v>0.35</v>
      </c>
      <c r="F53" s="241">
        <f t="shared" ca="1" si="16"/>
        <v>0</v>
      </c>
      <c r="G53" s="241">
        <f t="shared" ca="1" si="16"/>
        <v>0</v>
      </c>
      <c r="H53" s="241">
        <f t="shared" ca="1" si="16"/>
        <v>0.35</v>
      </c>
      <c r="I53" s="241">
        <f t="shared" ca="1" si="16"/>
        <v>0.35</v>
      </c>
      <c r="J53" s="241">
        <f t="shared" ca="1" si="16"/>
        <v>0.35</v>
      </c>
      <c r="K53" s="241">
        <f t="shared" ca="1" si="16"/>
        <v>0.35</v>
      </c>
      <c r="L53" s="241">
        <f t="shared" ca="1" si="16"/>
        <v>0.35</v>
      </c>
      <c r="M53" s="241">
        <f t="shared" ca="1" si="16"/>
        <v>0</v>
      </c>
      <c r="N53" s="241">
        <f t="shared" ca="1" si="16"/>
        <v>0</v>
      </c>
      <c r="O53" s="241">
        <f t="shared" ca="1" si="16"/>
        <v>0.17499999999999999</v>
      </c>
      <c r="P53" s="241">
        <f t="shared" ca="1" si="16"/>
        <v>0.35</v>
      </c>
      <c r="Q53" s="241">
        <f t="shared" ca="1" si="16"/>
        <v>0.35</v>
      </c>
      <c r="R53" s="241">
        <f t="shared" ca="1" si="16"/>
        <v>0.35</v>
      </c>
      <c r="S53" s="241">
        <f t="shared" ca="1" si="16"/>
        <v>0.35</v>
      </c>
      <c r="T53" s="241">
        <f t="shared" ca="1" si="16"/>
        <v>0</v>
      </c>
      <c r="U53" s="241">
        <f t="shared" ca="1" si="16"/>
        <v>0</v>
      </c>
      <c r="V53" s="241">
        <f t="shared" ca="1" si="16"/>
        <v>0.35</v>
      </c>
      <c r="W53" s="241">
        <f t="shared" ca="1" si="16"/>
        <v>0.35</v>
      </c>
      <c r="X53" s="241">
        <f t="shared" ca="1" si="16"/>
        <v>0.35</v>
      </c>
      <c r="Y53" s="241">
        <f t="shared" ca="1" si="16"/>
        <v>0.35</v>
      </c>
      <c r="Z53" s="241">
        <f t="shared" ca="1" si="16"/>
        <v>0.35</v>
      </c>
      <c r="AA53" s="241">
        <f t="shared" ca="1" si="16"/>
        <v>0</v>
      </c>
      <c r="AB53" s="241">
        <f t="shared" ca="1" si="16"/>
        <v>0</v>
      </c>
      <c r="AC53" s="241">
        <f t="shared" ca="1" si="16"/>
        <v>0.35</v>
      </c>
      <c r="AD53" s="241">
        <f t="shared" ca="1" si="16"/>
        <v>0.35</v>
      </c>
      <c r="AE53" s="241">
        <f t="shared" ca="1" si="16"/>
        <v>0.35</v>
      </c>
      <c r="AF53" s="205" t="str">
        <f t="shared" si="14"/>
        <v>Req. hours of work FTE</v>
      </c>
      <c r="AG53" s="218"/>
      <c r="AH53" s="238">
        <f ca="1">SUM(B53:AE53)</f>
        <v>7.5249999999999968</v>
      </c>
      <c r="AI53" s="214"/>
      <c r="AJ53" s="209"/>
      <c r="AK53" s="209"/>
      <c r="AL53" s="209"/>
      <c r="AM53" s="208"/>
      <c r="AN53" s="209"/>
      <c r="AO53" s="209"/>
      <c r="AP53" s="119"/>
    </row>
    <row r="54" spans="1:42" s="38" customFormat="1" ht="15" hidden="1" customHeight="1" outlineLevel="1" x14ac:dyDescent="0.2">
      <c r="A54" s="212" t="s">
        <v>213</v>
      </c>
      <c r="B54" s="241">
        <f t="shared" ref="B54:AE54" ca="1" si="17">ROUND(INDEX(EB.AZSOLLTag100.Bereich,MATCH(INDEX(EB.Monate.Bereich,MONTH(Monat.Tag1)),EB.Monate.Bereich,0))*B$11*IF(WEEKDAY(B$10,2)&gt;5,0,1)*1440,0)/1440</f>
        <v>0.35</v>
      </c>
      <c r="C54" s="241">
        <f t="shared" ca="1" si="17"/>
        <v>0.35</v>
      </c>
      <c r="D54" s="242">
        <f t="shared" ca="1" si="17"/>
        <v>0.35</v>
      </c>
      <c r="E54" s="241">
        <f t="shared" ca="1" si="17"/>
        <v>0.35</v>
      </c>
      <c r="F54" s="242">
        <f t="shared" ca="1" si="17"/>
        <v>0</v>
      </c>
      <c r="G54" s="242">
        <f t="shared" ca="1" si="17"/>
        <v>0</v>
      </c>
      <c r="H54" s="242">
        <f t="shared" ca="1" si="17"/>
        <v>0.35</v>
      </c>
      <c r="I54" s="242">
        <f t="shared" ca="1" si="17"/>
        <v>0.35</v>
      </c>
      <c r="J54" s="241">
        <f t="shared" ca="1" si="17"/>
        <v>0.35</v>
      </c>
      <c r="K54" s="242">
        <f t="shared" ca="1" si="17"/>
        <v>0.35</v>
      </c>
      <c r="L54" s="241">
        <f t="shared" ca="1" si="17"/>
        <v>0.35</v>
      </c>
      <c r="M54" s="242">
        <f t="shared" ca="1" si="17"/>
        <v>0</v>
      </c>
      <c r="N54" s="242">
        <f t="shared" ca="1" si="17"/>
        <v>0</v>
      </c>
      <c r="O54" s="242">
        <f t="shared" ca="1" si="17"/>
        <v>0.17499999999999999</v>
      </c>
      <c r="P54" s="242">
        <f t="shared" ca="1" si="17"/>
        <v>0.35</v>
      </c>
      <c r="Q54" s="241">
        <f t="shared" ca="1" si="17"/>
        <v>0.35</v>
      </c>
      <c r="R54" s="242">
        <f t="shared" ca="1" si="17"/>
        <v>0.35</v>
      </c>
      <c r="S54" s="241">
        <f t="shared" ca="1" si="17"/>
        <v>0.35</v>
      </c>
      <c r="T54" s="241">
        <f t="shared" ca="1" si="17"/>
        <v>0</v>
      </c>
      <c r="U54" s="242">
        <f t="shared" ca="1" si="17"/>
        <v>0</v>
      </c>
      <c r="V54" s="242">
        <f t="shared" ca="1" si="17"/>
        <v>0.35</v>
      </c>
      <c r="W54" s="242">
        <f t="shared" ca="1" si="17"/>
        <v>0.35</v>
      </c>
      <c r="X54" s="241">
        <f t="shared" ca="1" si="17"/>
        <v>0.35</v>
      </c>
      <c r="Y54" s="242">
        <f t="shared" ca="1" si="17"/>
        <v>0.35</v>
      </c>
      <c r="Z54" s="243">
        <f t="shared" ca="1" si="17"/>
        <v>0.35</v>
      </c>
      <c r="AA54" s="242">
        <f t="shared" ca="1" si="17"/>
        <v>0</v>
      </c>
      <c r="AB54" s="242">
        <f t="shared" ca="1" si="17"/>
        <v>0</v>
      </c>
      <c r="AC54" s="242">
        <f t="shared" ca="1" si="17"/>
        <v>0.35</v>
      </c>
      <c r="AD54" s="242">
        <f t="shared" ca="1" si="17"/>
        <v>0.35</v>
      </c>
      <c r="AE54" s="241">
        <f t="shared" ca="1" si="17"/>
        <v>0.35</v>
      </c>
      <c r="AF54" s="205" t="str">
        <f t="shared" si="14"/>
        <v>Req. hours of work 100%</v>
      </c>
      <c r="AG54" s="218"/>
      <c r="AH54" s="238">
        <f ca="1">SUM(B54:AE54)</f>
        <v>7.5249999999999968</v>
      </c>
      <c r="AI54" s="214"/>
      <c r="AJ54" s="209"/>
      <c r="AK54" s="209"/>
      <c r="AL54" s="209"/>
      <c r="AM54" s="208"/>
      <c r="AN54" s="209"/>
      <c r="AO54" s="209"/>
      <c r="AP54" s="119"/>
    </row>
    <row r="55" spans="1:42" s="38" customFormat="1" ht="15" customHeight="1" collapsed="1" x14ac:dyDescent="0.2">
      <c r="A55" s="244" t="s">
        <v>77</v>
      </c>
      <c r="B55" s="234">
        <f ca="1">ROUND((B51-B53)*1440,0)/1440</f>
        <v>-0.35</v>
      </c>
      <c r="C55" s="234">
        <f t="shared" ref="C55:AE55" ca="1" si="18">ROUND((C51-C53)*1440,0)/1440</f>
        <v>-0.35</v>
      </c>
      <c r="D55" s="234">
        <f t="shared" ca="1" si="18"/>
        <v>-0.35</v>
      </c>
      <c r="E55" s="236">
        <f t="shared" ca="1" si="18"/>
        <v>-0.35</v>
      </c>
      <c r="F55" s="234">
        <f t="shared" ca="1" si="18"/>
        <v>0</v>
      </c>
      <c r="G55" s="234">
        <f t="shared" ca="1" si="18"/>
        <v>0</v>
      </c>
      <c r="H55" s="234">
        <f t="shared" ca="1" si="18"/>
        <v>-0.35</v>
      </c>
      <c r="I55" s="234">
        <f t="shared" ca="1" si="18"/>
        <v>-0.35</v>
      </c>
      <c r="J55" s="236">
        <f t="shared" ca="1" si="18"/>
        <v>-0.35</v>
      </c>
      <c r="K55" s="234">
        <f t="shared" ca="1" si="18"/>
        <v>-0.35</v>
      </c>
      <c r="L55" s="236">
        <f t="shared" ca="1" si="18"/>
        <v>-0.35</v>
      </c>
      <c r="M55" s="234">
        <f t="shared" ca="1" si="18"/>
        <v>0</v>
      </c>
      <c r="N55" s="234">
        <f t="shared" ca="1" si="18"/>
        <v>0</v>
      </c>
      <c r="O55" s="234">
        <f t="shared" ca="1" si="18"/>
        <v>-0.17499999999999999</v>
      </c>
      <c r="P55" s="234">
        <f t="shared" ca="1" si="18"/>
        <v>-0.35</v>
      </c>
      <c r="Q55" s="236">
        <f t="shared" ca="1" si="18"/>
        <v>-0.35</v>
      </c>
      <c r="R55" s="234">
        <f t="shared" ca="1" si="18"/>
        <v>-0.35</v>
      </c>
      <c r="S55" s="236">
        <f t="shared" ca="1" si="18"/>
        <v>-0.35</v>
      </c>
      <c r="T55" s="236">
        <f t="shared" ca="1" si="18"/>
        <v>0</v>
      </c>
      <c r="U55" s="234">
        <f t="shared" ca="1" si="18"/>
        <v>0</v>
      </c>
      <c r="V55" s="234">
        <f t="shared" ca="1" si="18"/>
        <v>-0.35</v>
      </c>
      <c r="W55" s="234">
        <f t="shared" ca="1" si="18"/>
        <v>-0.35</v>
      </c>
      <c r="X55" s="236">
        <f t="shared" ca="1" si="18"/>
        <v>-0.35</v>
      </c>
      <c r="Y55" s="234">
        <f t="shared" ca="1" si="18"/>
        <v>-0.35</v>
      </c>
      <c r="Z55" s="237">
        <f t="shared" ca="1" si="18"/>
        <v>-0.35</v>
      </c>
      <c r="AA55" s="234">
        <f t="shared" ca="1" si="18"/>
        <v>0</v>
      </c>
      <c r="AB55" s="234">
        <f t="shared" ca="1" si="18"/>
        <v>0</v>
      </c>
      <c r="AC55" s="234">
        <f t="shared" ca="1" si="18"/>
        <v>-0.35</v>
      </c>
      <c r="AD55" s="234">
        <f t="shared" ca="1" si="18"/>
        <v>-0.35</v>
      </c>
      <c r="AE55" s="236">
        <f t="shared" ca="1" si="18"/>
        <v>-0.35</v>
      </c>
      <c r="AF55" s="205" t="str">
        <f t="shared" si="14"/>
        <v>+/- required/actual hours daily</v>
      </c>
      <c r="AG55" s="218"/>
      <c r="AH55" s="238">
        <f ca="1">SUM(B55:AE55)</f>
        <v>-7.5249999999999968</v>
      </c>
      <c r="AI55" s="214"/>
      <c r="AJ55" s="209"/>
      <c r="AK55" s="245">
        <f ca="1">IF(EB.Anwendung&lt;&gt;"",IF(MONTH(Monat.Tag1)=1,0,IF(MONTH(Monat.Tag1)=2,January!Monat.Soll_Ist_UeVM,IF(MONTH(Monat.Tag1)=3,February!Monat.Soll_Ist_UeVM,IF(MONTH(Monat.Tag1)=4,March!Monat.Soll_Ist_UeVM,IF(MONTH(Monat.Tag1)=5,April!Monat.Soll_Ist_UeVM,IF(MONTH(Monat.Tag1)=6,May!Monat.Soll_Ist_UeVM,IF(MONTH(Monat.Tag1)=7,June!Monat.Soll_Ist_UeVM,IF(MONTH(Monat.Tag1)=8,July!Monat.Soll_Ist_UeVM,IF(MONTH(Monat.Tag1)=9,August!Monat.Soll_Ist_UeVM,IF(MONTH(Monat.Tag1)=10,September!Monat.Soll_Ist_UeVM,IF(MONTH(Monat.Tag1)=11,October!Monat.Soll_Ist_UeVM,IF(MONTH(Monat.Tag1)=12,November!Monat.Soll_Ist_UeVM,"")))))))))))),"")</f>
        <v>-7.349999999999997</v>
      </c>
      <c r="AL55" s="209"/>
      <c r="AM55" s="246">
        <f ca="1">IF(AG57="+",(AH55+AH57),(AH55-AH57))</f>
        <v>-7.5249999999999968</v>
      </c>
      <c r="AN55" s="246">
        <f ca="1">SUM(OFFSET(J.AZSaldo.Total,-12,0,MONTH(Monat.Tag1),1))</f>
        <v>-65.599999999999966</v>
      </c>
      <c r="AO55" s="246">
        <f ca="1">J.AZSaldo.Total</f>
        <v>-88.07499999999996</v>
      </c>
      <c r="AP55" s="119"/>
    </row>
    <row r="56" spans="1:42" s="38" customFormat="1" ht="15" customHeight="1" x14ac:dyDescent="0.2">
      <c r="A56" s="244" t="s">
        <v>214</v>
      </c>
      <c r="B56" s="247">
        <f ca="1">IF(EB.Anwendung&lt;&gt;"",IF(DAY(B$10)=1,IF(MONTH(Monat.Tag1)=1,ROUND(EB.ÜVMMS*1440,0)/1440,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B$10&gt;TODAY(),EB.UJAustritt=""),0,B55),
IF(AND(B$10&gt;TODAY(),EB.UJAustritt=""),A56,A56+B55)),"")</f>
        <v>0</v>
      </c>
      <c r="C56" s="247">
        <f ca="1">IF(EB.Anwendung&lt;&gt;"",IF(DAY(C$10)=1,IF(MONTH(Monat.Tag1)=1,ROUND(EB.ÜVMMS*1440,0)/1440,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C$10&gt;TODAY(),EB.UJAustritt=""),0,C55),
IF(AND(C$10&gt;TODAY(),EB.UJAustritt=""),B56,B56+C55)),"")</f>
        <v>0</v>
      </c>
      <c r="D56" s="247">
        <f ca="1">IF(EB.Anwendung&lt;&gt;"",IF(DAY(D$10)=1,IF(MONTH(Monat.Tag1)=1,ROUND(EB.ÜVMMS*1440,0)/1440,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D$10&gt;TODAY(),EB.UJAustritt=""),0,D55),
IF(AND(D$10&gt;TODAY(),EB.UJAustritt=""),C56,C56+D55)),"")</f>
        <v>0</v>
      </c>
      <c r="E56" s="247">
        <f ca="1">IF(EB.Anwendung&lt;&gt;"",IF(DAY(E$10)=1,IF(MONTH(Monat.Tag1)=1,ROUND(EB.ÜVMMS*1440,0)/1440,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E$10&gt;TODAY(),EB.UJAustritt=""),0,E55),
IF(AND(E$10&gt;TODAY(),EB.UJAustritt=""),D56,D56+E55)),"")</f>
        <v>0</v>
      </c>
      <c r="F56" s="247">
        <f ca="1">IF(EB.Anwendung&lt;&gt;"",IF(DAY(F$10)=1,IF(MONTH(Monat.Tag1)=1,ROUND(EB.ÜVMMS*1440,0)/1440,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F$10&gt;TODAY(),EB.UJAustritt=""),0,F55),
IF(AND(F$10&gt;TODAY(),EB.UJAustritt=""),E56,E56+F55)),"")</f>
        <v>0</v>
      </c>
      <c r="G56" s="247">
        <f ca="1">IF(EB.Anwendung&lt;&gt;"",IF(DAY(G$10)=1,IF(MONTH(Monat.Tag1)=1,ROUND(EB.ÜVMMS*1440,0)/1440,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G$10&gt;TODAY(),EB.UJAustritt=""),0,G55),
IF(AND(G$10&gt;TODAY(),EB.UJAustritt=""),F56,F56+G55)),"")</f>
        <v>0</v>
      </c>
      <c r="H56" s="247">
        <f ca="1">IF(EB.Anwendung&lt;&gt;"",IF(DAY(H$10)=1,IF(MONTH(Monat.Tag1)=1,ROUND(EB.ÜVMMS*1440,0)/1440,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H$10&gt;TODAY(),EB.UJAustritt=""),0,H55),
IF(AND(H$10&gt;TODAY(),EB.UJAustritt=""),G56,G56+H55)),"")</f>
        <v>0</v>
      </c>
      <c r="I56" s="247">
        <f ca="1">IF(EB.Anwendung&lt;&gt;"",IF(DAY(I$10)=1,IF(MONTH(Monat.Tag1)=1,ROUND(EB.ÜVMMS*1440,0)/1440,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I$10&gt;TODAY(),EB.UJAustritt=""),0,I55),
IF(AND(I$10&gt;TODAY(),EB.UJAustritt=""),H56,H56+I55)),"")</f>
        <v>0</v>
      </c>
      <c r="J56" s="247">
        <f ca="1">IF(EB.Anwendung&lt;&gt;"",IF(DAY(J$10)=1,IF(MONTH(Monat.Tag1)=1,ROUND(EB.ÜVMMS*1440,0)/1440,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J$10&gt;TODAY(),EB.UJAustritt=""),0,J55),
IF(AND(J$10&gt;TODAY(),EB.UJAustritt=""),I56,I56+J55)),"")</f>
        <v>0</v>
      </c>
      <c r="K56" s="247">
        <f ca="1">IF(EB.Anwendung&lt;&gt;"",IF(DAY(K$10)=1,IF(MONTH(Monat.Tag1)=1,ROUND(EB.ÜVMMS*1440,0)/1440,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K$10&gt;TODAY(),EB.UJAustritt=""),0,K55),
IF(AND(K$10&gt;TODAY(),EB.UJAustritt=""),J56,J56+K55)),"")</f>
        <v>0</v>
      </c>
      <c r="L56" s="247">
        <f ca="1">IF(EB.Anwendung&lt;&gt;"",IF(DAY(L$10)=1,IF(MONTH(Monat.Tag1)=1,ROUND(EB.ÜVMMS*1440,0)/1440,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L$10&gt;TODAY(),EB.UJAustritt=""),0,L55),
IF(AND(L$10&gt;TODAY(),EB.UJAustritt=""),K56,K56+L55)),"")</f>
        <v>0</v>
      </c>
      <c r="M56" s="247">
        <f ca="1">IF(EB.Anwendung&lt;&gt;"",IF(DAY(M$10)=1,IF(MONTH(Monat.Tag1)=1,ROUND(EB.ÜVMMS*1440,0)/1440,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M$10&gt;TODAY(),EB.UJAustritt=""),0,M55),
IF(AND(M$10&gt;TODAY(),EB.UJAustritt=""),L56,L56+M55)),"")</f>
        <v>0</v>
      </c>
      <c r="N56" s="247">
        <f ca="1">IF(EB.Anwendung&lt;&gt;"",IF(DAY(N$10)=1,IF(MONTH(Monat.Tag1)=1,ROUND(EB.ÜVMMS*1440,0)/1440,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N$10&gt;TODAY(),EB.UJAustritt=""),0,N55),
IF(AND(N$10&gt;TODAY(),EB.UJAustritt=""),M56,M56+N55)),"")</f>
        <v>0</v>
      </c>
      <c r="O56" s="247">
        <f ca="1">IF(EB.Anwendung&lt;&gt;"",IF(DAY(O$10)=1,IF(MONTH(Monat.Tag1)=1,ROUND(EB.ÜVMMS*1440,0)/1440,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O$10&gt;TODAY(),EB.UJAustritt=""),0,O55),
IF(AND(O$10&gt;TODAY(),EB.UJAustritt=""),N56,N56+O55)),"")</f>
        <v>0</v>
      </c>
      <c r="P56" s="247">
        <f ca="1">IF(EB.Anwendung&lt;&gt;"",IF(DAY(P$10)=1,IF(MONTH(Monat.Tag1)=1,ROUND(EB.ÜVMMS*1440,0)/1440,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P$10&gt;TODAY(),EB.UJAustritt=""),0,P55),
IF(AND(P$10&gt;TODAY(),EB.UJAustritt=""),O56,O56+P55)),"")</f>
        <v>0</v>
      </c>
      <c r="Q56" s="247">
        <f ca="1">IF(EB.Anwendung&lt;&gt;"",IF(DAY(Q$10)=1,IF(MONTH(Monat.Tag1)=1,ROUND(EB.ÜVMMS*1440,0)/1440,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Q$10&gt;TODAY(),EB.UJAustritt=""),0,Q55),
IF(AND(Q$10&gt;TODAY(),EB.UJAustritt=""),P56,P56+Q55)),"")</f>
        <v>0</v>
      </c>
      <c r="R56" s="247">
        <f ca="1">IF(EB.Anwendung&lt;&gt;"",IF(DAY(R$10)=1,IF(MONTH(Monat.Tag1)=1,ROUND(EB.ÜVMMS*1440,0)/1440,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R$10&gt;TODAY(),EB.UJAustritt=""),0,R55),
IF(AND(R$10&gt;TODAY(),EB.UJAustritt=""),Q56,Q56+R55)),"")</f>
        <v>0</v>
      </c>
      <c r="S56" s="247">
        <f ca="1">IF(EB.Anwendung&lt;&gt;"",IF(DAY(S$10)=1,IF(MONTH(Monat.Tag1)=1,ROUND(EB.ÜVMMS*1440,0)/1440,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S$10&gt;TODAY(),EB.UJAustritt=""),0,S55),
IF(AND(S$10&gt;TODAY(),EB.UJAustritt=""),R56,R56+S55)),"")</f>
        <v>0</v>
      </c>
      <c r="T56" s="247">
        <f ca="1">IF(EB.Anwendung&lt;&gt;"",IF(DAY(T$10)=1,IF(MONTH(Monat.Tag1)=1,ROUND(EB.ÜVMMS*1440,0)/1440,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T$10&gt;TODAY(),EB.UJAustritt=""),0,T55),
IF(AND(T$10&gt;TODAY(),EB.UJAustritt=""),S56,S56+T55)),"")</f>
        <v>0</v>
      </c>
      <c r="U56" s="247">
        <f ca="1">IF(EB.Anwendung&lt;&gt;"",IF(DAY(U$10)=1,IF(MONTH(Monat.Tag1)=1,ROUND(EB.ÜVMMS*1440,0)/1440,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U$10&gt;TODAY(),EB.UJAustritt=""),0,U55),
IF(AND(U$10&gt;TODAY(),EB.UJAustritt=""),T56,T56+U55)),"")</f>
        <v>0</v>
      </c>
      <c r="V56" s="247">
        <f ca="1">IF(EB.Anwendung&lt;&gt;"",IF(DAY(V$10)=1,IF(MONTH(Monat.Tag1)=1,ROUND(EB.ÜVMMS*1440,0)/1440,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V$10&gt;TODAY(),EB.UJAustritt=""),0,V55),
IF(AND(V$10&gt;TODAY(),EB.UJAustritt=""),U56,U56+V55)),"")</f>
        <v>0</v>
      </c>
      <c r="W56" s="247">
        <f ca="1">IF(EB.Anwendung&lt;&gt;"",IF(DAY(W$10)=1,IF(MONTH(Monat.Tag1)=1,ROUND(EB.ÜVMMS*1440,0)/1440,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W$10&gt;TODAY(),EB.UJAustritt=""),0,W55),
IF(AND(W$10&gt;TODAY(),EB.UJAustritt=""),V56,V56+W55)),"")</f>
        <v>0</v>
      </c>
      <c r="X56" s="247">
        <f ca="1">IF(EB.Anwendung&lt;&gt;"",IF(DAY(X$10)=1,IF(MONTH(Monat.Tag1)=1,ROUND(EB.ÜVMMS*1440,0)/1440,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X$10&gt;TODAY(),EB.UJAustritt=""),0,X55),
IF(AND(X$10&gt;TODAY(),EB.UJAustritt=""),W56,W56+X55)),"")</f>
        <v>0</v>
      </c>
      <c r="Y56" s="247">
        <f ca="1">IF(EB.Anwendung&lt;&gt;"",IF(DAY(Y$10)=1,IF(MONTH(Monat.Tag1)=1,ROUND(EB.ÜVMMS*1440,0)/1440,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Y$10&gt;TODAY(),EB.UJAustritt=""),0,Y55),
IF(AND(Y$10&gt;TODAY(),EB.UJAustritt=""),X56,X56+Y55)),"")</f>
        <v>0</v>
      </c>
      <c r="Z56" s="247">
        <f ca="1">IF(EB.Anwendung&lt;&gt;"",IF(DAY(Z$10)=1,IF(MONTH(Monat.Tag1)=1,ROUND(EB.ÜVMMS*1440,0)/1440,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Z$10&gt;TODAY(),EB.UJAustritt=""),0,Z55),
IF(AND(Z$10&gt;TODAY(),EB.UJAustritt=""),Y56,Y56+Z55)),"")</f>
        <v>0</v>
      </c>
      <c r="AA56" s="247">
        <f ca="1">IF(EB.Anwendung&lt;&gt;"",IF(DAY(AA$10)=1,IF(MONTH(Monat.Tag1)=1,ROUND(EB.ÜVMMS*1440,0)/1440,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A$10&gt;TODAY(),EB.UJAustritt=""),0,AA55),
IF(AND(AA$10&gt;TODAY(),EB.UJAustritt=""),Z56,Z56+AA55)),"")</f>
        <v>0</v>
      </c>
      <c r="AB56" s="247">
        <f ca="1">IF(EB.Anwendung&lt;&gt;"",IF(DAY(AB$10)=1,IF(MONTH(Monat.Tag1)=1,ROUND(EB.ÜVMMS*1440,0)/1440,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B$10&gt;TODAY(),EB.UJAustritt=""),0,AB55),
IF(AND(AB$10&gt;TODAY(),EB.UJAustritt=""),AA56,AA56+AB55)),"")</f>
        <v>0</v>
      </c>
      <c r="AC56" s="247">
        <f ca="1">IF(EB.Anwendung&lt;&gt;"",IF(DAY(AC$10)=1,IF(MONTH(Monat.Tag1)=1,ROUND(EB.ÜVMMS*1440,0)/1440,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C$10&gt;TODAY(),EB.UJAustritt=""),0,AC55),
IF(AND(AC$10&gt;TODAY(),EB.UJAustritt=""),AB56,AB56+AC55)),"")</f>
        <v>0</v>
      </c>
      <c r="AD56" s="247">
        <f ca="1">IF(EB.Anwendung&lt;&gt;"",IF(DAY(AD$10)=1,IF(MONTH(Monat.Tag1)=1,ROUND(EB.ÜVMMS*1440,0)/1440,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D$10&gt;TODAY(),EB.UJAustritt=""),0,AD55),
IF(AND(AD$10&gt;TODAY(),EB.UJAustritt=""),AC56,AC56+AD55)),"")</f>
        <v>0</v>
      </c>
      <c r="AE56" s="247">
        <f ca="1">IF(EB.Anwendung&lt;&gt;"",IF(DAY(AE$10)=1,IF(MONTH(Monat.Tag1)=1,ROUND(EB.ÜVMMS*1440,0)/1440,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E$10&gt;TODAY(),EB.UJAustritt=""),0,AE55),
IF(AND(AE$10&gt;TODAY(),EB.UJAustritt=""),AD56,AD56+AE55)),"")</f>
        <v>0</v>
      </c>
      <c r="AF56" s="205" t="str">
        <f t="shared" si="14"/>
        <v>current extra/minus hours</v>
      </c>
      <c r="AG56" s="218"/>
      <c r="AH56" s="238">
        <f ca="1">OFFSET(B56,0,DAY(EOMONTH(Monat.Tag1,0))-1,1,1)</f>
        <v>0</v>
      </c>
      <c r="AI56" s="214"/>
      <c r="AJ56" s="209"/>
      <c r="AK56" s="209"/>
      <c r="AL56" s="209"/>
      <c r="AM56" s="208"/>
      <c r="AN56" s="209"/>
      <c r="AO56" s="209"/>
      <c r="AP56" s="119"/>
    </row>
    <row r="57" spans="1:42" s="42" customFormat="1" ht="15" customHeight="1" outlineLevel="1" x14ac:dyDescent="0.2">
      <c r="A57" s="248"/>
      <c r="B57" s="249"/>
      <c r="C57" s="249"/>
      <c r="D57" s="249"/>
      <c r="E57" s="191"/>
      <c r="F57" s="249"/>
      <c r="G57" s="249"/>
      <c r="H57" s="250"/>
      <c r="I57" s="249"/>
      <c r="J57" s="251"/>
      <c r="K57" s="249"/>
      <c r="L57" s="252"/>
      <c r="M57" s="249"/>
      <c r="N57" s="249"/>
      <c r="O57" s="250"/>
      <c r="P57" s="249"/>
      <c r="Q57" s="191"/>
      <c r="R57" s="249"/>
      <c r="S57" s="252"/>
      <c r="T57" s="249"/>
      <c r="U57" s="249"/>
      <c r="V57" s="250"/>
      <c r="W57" s="249"/>
      <c r="X57" s="253"/>
      <c r="Y57" s="249"/>
      <c r="Z57" s="191"/>
      <c r="AA57" s="249"/>
      <c r="AB57" s="249"/>
      <c r="AC57" s="250"/>
      <c r="AD57" s="249"/>
      <c r="AE57" s="191"/>
      <c r="AF57" s="212" t="s">
        <v>117</v>
      </c>
      <c r="AG57" s="43" t="s">
        <v>2</v>
      </c>
      <c r="AH57" s="73"/>
      <c r="AI57" s="255"/>
      <c r="AJ57" s="256"/>
      <c r="AK57" s="209"/>
      <c r="AL57" s="209"/>
      <c r="AM57" s="208"/>
      <c r="AN57" s="257"/>
      <c r="AO57" s="257"/>
      <c r="AP57" s="163"/>
    </row>
    <row r="58" spans="1:42" s="44" customFormat="1" ht="15" customHeight="1" x14ac:dyDescent="0.2">
      <c r="A58" s="258"/>
      <c r="B58" s="252"/>
      <c r="C58" s="252"/>
      <c r="D58" s="252"/>
      <c r="E58" s="191"/>
      <c r="F58" s="252"/>
      <c r="G58" s="252"/>
      <c r="H58" s="252"/>
      <c r="I58" s="252"/>
      <c r="J58" s="191"/>
      <c r="K58" s="252"/>
      <c r="L58" s="252"/>
      <c r="M58" s="252"/>
      <c r="N58" s="252"/>
      <c r="O58" s="252"/>
      <c r="P58" s="252"/>
      <c r="Q58" s="191"/>
      <c r="R58" s="252"/>
      <c r="S58" s="252"/>
      <c r="T58" s="252"/>
      <c r="U58" s="252"/>
      <c r="V58" s="252"/>
      <c r="W58" s="252"/>
      <c r="X58" s="253"/>
      <c r="Y58" s="252"/>
      <c r="Z58" s="191"/>
      <c r="AA58" s="252"/>
      <c r="AB58" s="252"/>
      <c r="AC58" s="252"/>
      <c r="AD58" s="252"/>
      <c r="AE58" s="191"/>
      <c r="AF58" s="260" t="s">
        <v>78</v>
      </c>
      <c r="AG58" s="218"/>
      <c r="AH58" s="238">
        <f ca="1">IF(AG57="+",(Monat.ZUeZ.Total+AH57),(Monat.ZUeZ.Total-AH57))</f>
        <v>0</v>
      </c>
      <c r="AI58" s="261"/>
      <c r="AJ58" s="262"/>
      <c r="AK58" s="245">
        <f ca="1">IF(EB.Anwendung&lt;&gt;"",IF(MONTH(Monat.Tag1)=1,EB.MMS,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f>
        <v>0</v>
      </c>
      <c r="AL58" s="209"/>
      <c r="AM58" s="246">
        <f ca="1">AH58</f>
        <v>0</v>
      </c>
      <c r="AN58" s="209"/>
      <c r="AO58" s="209"/>
      <c r="AP58" s="131"/>
    </row>
    <row r="59" spans="1:42" s="38" customFormat="1" ht="11.25" customHeight="1" x14ac:dyDescent="0.2">
      <c r="A59" s="220"/>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05"/>
      <c r="AG59" s="188"/>
      <c r="AH59" s="213"/>
      <c r="AI59" s="214"/>
      <c r="AJ59" s="209"/>
      <c r="AK59" s="209"/>
      <c r="AL59" s="209"/>
      <c r="AM59" s="208"/>
      <c r="AN59" s="209"/>
      <c r="AO59" s="209"/>
      <c r="AP59" s="119"/>
    </row>
    <row r="60" spans="1:42" s="38" customFormat="1" ht="15" customHeight="1" x14ac:dyDescent="0.2">
      <c r="A60" s="212" t="s">
        <v>217</v>
      </c>
      <c r="B60" s="263" t="str">
        <f ca="1">IF(EB.Wochenarbeitszeit=50/24,IF(T.50_Vetsuisse,IF(WEEKDAY(B$10,2)=7,MAX(0,SUM(OFFSET(B51,0,-MIN(6,DAY(B$10)-1),1,MIN(7,DAY(B$10))))+IF(AND(MONTH(Monat.Tag1)&lt;&gt;1,DAY(B$10)&lt;7),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-1/24*50),""),""),IF(B45=0,"",B45))</f>
        <v/>
      </c>
      <c r="C60" s="263" t="str">
        <f ca="1">IF(EB.Wochenarbeitszeit=50/24,IF(T.50_Vetsuisse,IF(WEEKDAY(C$10,2)=7,MAX(0,SUM(OFFSET(C51,0,-MIN(6,DAY(C$10)-1),1,MIN(7,DAY(C$10))))+IF(AND(MONTH(Monat.Tag1)&lt;&gt;1,DAY(C$10)&lt;7),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-1/24*50),""),""),IF(C45=0,"",C45))</f>
        <v/>
      </c>
      <c r="D60" s="263" t="str">
        <f ca="1">IF(EB.Wochenarbeitszeit=50/24,IF(T.50_Vetsuisse,IF(WEEKDAY(D$10,2)=7,MAX(0,SUM(OFFSET(D51,0,-MIN(6,DAY(D$10)-1),1,MIN(7,DAY(D$10))))+IF(AND(MONTH(Monat.Tag1)&lt;&gt;1,DAY(D$10)&lt;7),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-1/24*50),""),""),IF(D45=0,"",D45))</f>
        <v/>
      </c>
      <c r="E60" s="264" t="str">
        <f ca="1">IF(EB.Wochenarbeitszeit=50/24,IF(T.50_Vetsuisse,IF(WEEKDAY(E$10,2)=7,MAX(0,SUM(OFFSET(E51,0,-MIN(6,DAY(E$10)-1),1,MIN(7,DAY(E$10))))+IF(AND(MONTH(Monat.Tag1)&lt;&gt;1,DAY(E$10)&lt;7),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-1/24*50),""),""),IF(E45=0,"",E45))</f>
        <v/>
      </c>
      <c r="F60" s="263" t="str">
        <f ca="1">IF(EB.Wochenarbeitszeit=50/24,IF(T.50_Vetsuisse,IF(WEEKDAY(F$10,2)=7,MAX(0,SUM(OFFSET(F51,0,-MIN(6,DAY(F$10)-1),1,MIN(7,DAY(F$10))))+IF(AND(MONTH(Monat.Tag1)&lt;&gt;1,DAY(F$10)&lt;7),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-1/24*50),""),""),IF(F45=0,"",F45))</f>
        <v/>
      </c>
      <c r="G60" s="263" t="str">
        <f ca="1">IF(EB.Wochenarbeitszeit=50/24,IF(T.50_Vetsuisse,IF(WEEKDAY(G$10,2)=7,MAX(0,SUM(OFFSET(G51,0,-MIN(6,DAY(G$10)-1),1,MIN(7,DAY(G$10))))+IF(AND(MONTH(Monat.Tag1)&lt;&gt;1,DAY(G$10)&lt;7),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-1/24*50),""),""),IF(G45=0,"",G45))</f>
        <v/>
      </c>
      <c r="H60" s="263" t="str">
        <f ca="1">IF(EB.Wochenarbeitszeit=50/24,IF(T.50_Vetsuisse,IF(WEEKDAY(H$10,2)=7,MAX(0,SUM(OFFSET(H51,0,-MIN(6,DAY(H$10)-1),1,MIN(7,DAY(H$10))))+IF(AND(MONTH(Monat.Tag1)&lt;&gt;1,DAY(H$10)&lt;7),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-1/24*50),""),""),IF(H45=0,"",H45))</f>
        <v/>
      </c>
      <c r="I60" s="263" t="str">
        <f ca="1">IF(EB.Wochenarbeitszeit=50/24,IF(T.50_Vetsuisse,IF(WEEKDAY(I$10,2)=7,MAX(0,SUM(OFFSET(I51,0,-MIN(6,DAY(I$10)-1),1,MIN(7,DAY(I$10))))+IF(AND(MONTH(Monat.Tag1)&lt;&gt;1,DAY(I$10)&lt;7),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-1/24*50),""),""),IF(I45=0,"",I45))</f>
        <v/>
      </c>
      <c r="J60" s="264" t="str">
        <f ca="1">IF(EB.Wochenarbeitszeit=50/24,IF(T.50_Vetsuisse,IF(WEEKDAY(J$10,2)=7,MAX(0,SUM(OFFSET(J51,0,-MIN(6,DAY(J$10)-1),1,MIN(7,DAY(J$10))))+IF(AND(MONTH(Monat.Tag1)&lt;&gt;1,DAY(J$10)&lt;7),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-1/24*50),""),""),IF(J45=0,"",J45))</f>
        <v/>
      </c>
      <c r="K60" s="263" t="str">
        <f ca="1">IF(EB.Wochenarbeitszeit=50/24,IF(T.50_Vetsuisse,IF(WEEKDAY(K$10,2)=7,MAX(0,SUM(OFFSET(K51,0,-MIN(6,DAY(K$10)-1),1,MIN(7,DAY(K$10))))+IF(AND(MONTH(Monat.Tag1)&lt;&gt;1,DAY(K$10)&lt;7),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-1/24*50),""),""),IF(K45=0,"",K45))</f>
        <v/>
      </c>
      <c r="L60" s="264" t="str">
        <f ca="1">IF(EB.Wochenarbeitszeit=50/24,IF(T.50_Vetsuisse,IF(WEEKDAY(L$10,2)=7,MAX(0,SUM(OFFSET(L51,0,-MIN(6,DAY(L$10)-1),1,MIN(7,DAY(L$10))))+IF(AND(MONTH(Monat.Tag1)&lt;&gt;1,DAY(L$10)&lt;7),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-1/24*50),""),""),IF(L45=0,"",L45))</f>
        <v/>
      </c>
      <c r="M60" s="263" t="str">
        <f ca="1">IF(EB.Wochenarbeitszeit=50/24,IF(T.50_Vetsuisse,IF(WEEKDAY(M$10,2)=7,MAX(0,SUM(OFFSET(M51,0,-MIN(6,DAY(M$10)-1),1,MIN(7,DAY(M$10))))+IF(AND(MONTH(Monat.Tag1)&lt;&gt;1,DAY(M$10)&lt;7),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-1/24*50),""),""),IF(M45=0,"",M45))</f>
        <v/>
      </c>
      <c r="N60" s="263" t="str">
        <f ca="1">IF(EB.Wochenarbeitszeit=50/24,IF(T.50_Vetsuisse,IF(WEEKDAY(N$10,2)=7,MAX(0,SUM(OFFSET(N51,0,-MIN(6,DAY(N$10)-1),1,MIN(7,DAY(N$10))))+IF(AND(MONTH(Monat.Tag1)&lt;&gt;1,DAY(N$10)&lt;7),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-1/24*50),""),""),IF(N45=0,"",N45))</f>
        <v/>
      </c>
      <c r="O60" s="263" t="str">
        <f ca="1">IF(EB.Wochenarbeitszeit=50/24,IF(T.50_Vetsuisse,IF(WEEKDAY(O$10,2)=7,MAX(0,SUM(OFFSET(O51,0,-MIN(6,DAY(O$10)-1),1,MIN(7,DAY(O$10))))+IF(AND(MONTH(Monat.Tag1)&lt;&gt;1,DAY(O$10)&lt;7),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-1/24*50),""),""),IF(O45=0,"",O45))</f>
        <v/>
      </c>
      <c r="P60" s="263" t="str">
        <f ca="1">IF(EB.Wochenarbeitszeit=50/24,IF(T.50_Vetsuisse,IF(WEEKDAY(P$10,2)=7,MAX(0,SUM(OFFSET(P51,0,-MIN(6,DAY(P$10)-1),1,MIN(7,DAY(P$10))))+IF(AND(MONTH(Monat.Tag1)&lt;&gt;1,DAY(P$10)&lt;7),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-1/24*50),""),""),IF(P45=0,"",P45))</f>
        <v/>
      </c>
      <c r="Q60" s="264" t="str">
        <f ca="1">IF(EB.Wochenarbeitszeit=50/24,IF(T.50_Vetsuisse,IF(WEEKDAY(Q$10,2)=7,MAX(0,SUM(OFFSET(Q51,0,-MIN(6,DAY(Q$10)-1),1,MIN(7,DAY(Q$10))))+IF(AND(MONTH(Monat.Tag1)&lt;&gt;1,DAY(Q$10)&lt;7),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-1/24*50),""),""),IF(Q45=0,"",Q45))</f>
        <v/>
      </c>
      <c r="R60" s="263" t="str">
        <f ca="1">IF(EB.Wochenarbeitszeit=50/24,IF(T.50_Vetsuisse,IF(WEEKDAY(R$10,2)=7,MAX(0,SUM(OFFSET(R51,0,-MIN(6,DAY(R$10)-1),1,MIN(7,DAY(R$10))))+IF(AND(MONTH(Monat.Tag1)&lt;&gt;1,DAY(R$10)&lt;7),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-1/24*50),""),""),IF(R45=0,"",R45))</f>
        <v/>
      </c>
      <c r="S60" s="264" t="str">
        <f ca="1">IF(EB.Wochenarbeitszeit=50/24,IF(T.50_Vetsuisse,IF(WEEKDAY(S$10,2)=7,MAX(0,SUM(OFFSET(S51,0,-MIN(6,DAY(S$10)-1),1,MIN(7,DAY(S$10))))+IF(AND(MONTH(Monat.Tag1)&lt;&gt;1,DAY(S$10)&lt;7),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-1/24*50),""),""),IF(S45=0,"",S45))</f>
        <v/>
      </c>
      <c r="T60" s="264" t="str">
        <f ca="1">IF(EB.Wochenarbeitszeit=50/24,IF(T.50_Vetsuisse,IF(WEEKDAY(T$10,2)=7,MAX(0,SUM(OFFSET(T51,0,-MIN(6,DAY(T$10)-1),1,MIN(7,DAY(T$10))))+IF(AND(MONTH(Monat.Tag1)&lt;&gt;1,DAY(T$10)&lt;7),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-1/24*50),""),""),IF(T45=0,"",T45))</f>
        <v/>
      </c>
      <c r="U60" s="263" t="str">
        <f ca="1">IF(EB.Wochenarbeitszeit=50/24,IF(T.50_Vetsuisse,IF(WEEKDAY(U$10,2)=7,MAX(0,SUM(OFFSET(U51,0,-MIN(6,DAY(U$10)-1),1,MIN(7,DAY(U$10))))+IF(AND(MONTH(Monat.Tag1)&lt;&gt;1,DAY(U$10)&lt;7),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-1/24*50),""),""),IF(U45=0,"",U45))</f>
        <v/>
      </c>
      <c r="V60" s="263" t="str">
        <f ca="1">IF(EB.Wochenarbeitszeit=50/24,IF(T.50_Vetsuisse,IF(WEEKDAY(V$10,2)=7,MAX(0,SUM(OFFSET(V51,0,-MIN(6,DAY(V$10)-1),1,MIN(7,DAY(V$10))))+IF(AND(MONTH(Monat.Tag1)&lt;&gt;1,DAY(V$10)&lt;7),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-1/24*50),""),""),IF(V45=0,"",V45))</f>
        <v/>
      </c>
      <c r="W60" s="263" t="str">
        <f ca="1">IF(EB.Wochenarbeitszeit=50/24,IF(T.50_Vetsuisse,IF(WEEKDAY(W$10,2)=7,MAX(0,SUM(OFFSET(W51,0,-MIN(6,DAY(W$10)-1),1,MIN(7,DAY(W$10))))+IF(AND(MONTH(Monat.Tag1)&lt;&gt;1,DAY(W$10)&lt;7),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-1/24*50),""),""),IF(W45=0,"",W45))</f>
        <v/>
      </c>
      <c r="X60" s="264" t="str">
        <f ca="1">IF(EB.Wochenarbeitszeit=50/24,IF(T.50_Vetsuisse,IF(WEEKDAY(X$10,2)=7,MAX(0,SUM(OFFSET(X51,0,-MIN(6,DAY(X$10)-1),1,MIN(7,DAY(X$10))))+IF(AND(MONTH(Monat.Tag1)&lt;&gt;1,DAY(X$10)&lt;7),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-1/24*50),""),""),IF(X45=0,"",X45))</f>
        <v/>
      </c>
      <c r="Y60" s="263" t="str">
        <f ca="1">IF(EB.Wochenarbeitszeit=50/24,IF(T.50_Vetsuisse,IF(WEEKDAY(Y$10,2)=7,MAX(0,SUM(OFFSET(Y51,0,-MIN(6,DAY(Y$10)-1),1,MIN(7,DAY(Y$10))))+IF(AND(MONTH(Monat.Tag1)&lt;&gt;1,DAY(Y$10)&lt;7),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-1/24*50),""),""),IF(Y45=0,"",Y45))</f>
        <v/>
      </c>
      <c r="Z60" s="265" t="str">
        <f ca="1">IF(EB.Wochenarbeitszeit=50/24,IF(T.50_Vetsuisse,IF(WEEKDAY(Z$10,2)=7,MAX(0,SUM(OFFSET(Z51,0,-MIN(6,DAY(Z$10)-1),1,MIN(7,DAY(Z$10))))+IF(AND(MONTH(Monat.Tag1)&lt;&gt;1,DAY(Z$10)&lt;7),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-1/24*50),""),""),IF(Z45=0,"",Z45))</f>
        <v/>
      </c>
      <c r="AA60" s="263" t="str">
        <f ca="1">IF(EB.Wochenarbeitszeit=50/24,IF(T.50_Vetsuisse,IF(WEEKDAY(AA$10,2)=7,MAX(0,SUM(OFFSET(AA51,0,-MIN(6,DAY(AA$10)-1),1,MIN(7,DAY(AA$10))))+IF(AND(MONTH(Monat.Tag1)&lt;&gt;1,DAY(AA$10)&lt;7),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-1/24*50),""),""),IF(AA45=0,"",AA45))</f>
        <v/>
      </c>
      <c r="AB60" s="263" t="str">
        <f ca="1">IF(EB.Wochenarbeitszeit=50/24,IF(T.50_Vetsuisse,IF(WEEKDAY(AB$10,2)=7,MAX(0,SUM(OFFSET(AB51,0,-MIN(6,DAY(AB$10)-1),1,MIN(7,DAY(AB$10))))+IF(AND(MONTH(Monat.Tag1)&lt;&gt;1,DAY(AB$10)&lt;7),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-1/24*50),""),""),IF(AB45=0,"",AB45))</f>
        <v/>
      </c>
      <c r="AC60" s="263" t="str">
        <f ca="1">IF(EB.Wochenarbeitszeit=50/24,IF(T.50_Vetsuisse,IF(WEEKDAY(AC$10,2)=7,MAX(0,SUM(OFFSET(AC51,0,-MIN(6,DAY(AC$10)-1),1,MIN(7,DAY(AC$10))))+IF(AND(MONTH(Monat.Tag1)&lt;&gt;1,DAY(AC$10)&lt;7),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-1/24*50),""),""),IF(AC45=0,"",AC45))</f>
        <v/>
      </c>
      <c r="AD60" s="263" t="str">
        <f ca="1">IF(EB.Wochenarbeitszeit=50/24,IF(T.50_Vetsuisse,IF(WEEKDAY(AD$10,2)=7,MAX(0,SUM(OFFSET(AD51,0,-MIN(6,DAY(AD$10)-1),1,MIN(7,DAY(AD$10))))+IF(AND(MONTH(Monat.Tag1)&lt;&gt;1,DAY(AD$10)&lt;7),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-1/24*50),""),""),IF(AD45=0,"",AD45))</f>
        <v/>
      </c>
      <c r="AE60" s="264" t="str">
        <f ca="1">IF(EB.Wochenarbeitszeit=50/24,IF(T.50_Vetsuisse,IF(WEEKDAY(AE$10,2)=7,MAX(0,SUM(OFFSET(AE51,0,-MIN(6,DAY(AE$10)-1),1,MIN(7,DAY(AE$10))))+IF(AND(MONTH(Monat.Tag1)&lt;&gt;1,DAY(AE$10)&lt;7),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-1/24*50),""),""),IF(AE45=0,"",AE45))</f>
        <v/>
      </c>
      <c r="AF60" s="205" t="str">
        <f>A60</f>
        <v>Ordered overtime</v>
      </c>
      <c r="AG60" s="218"/>
      <c r="AH60" s="238">
        <f ca="1">SUM(B60:AE60)</f>
        <v>0</v>
      </c>
      <c r="AI60" s="214"/>
      <c r="AJ60" s="209"/>
      <c r="AK60" s="245">
        <f ca="1">IF(EB.Anwendung&lt;&gt;"",IF(MONTH(Monat.Tag1)=1,0,IF(MONTH(Monat.Tag1)=2,January!Monat.AnUeZUeVM,IF(MONTH(Monat.Tag1)=3,February!Monat.AnUeZUeVM,IF(MONTH(Monat.Tag1)=4,March!Monat.AnUeZUeVM,IF(MONTH(Monat.Tag1)=5,April!Monat.AnUeZUeVM,IF(MONTH(Monat.Tag1)=6,May!Monat.AnUeZUeVM,IF(MONTH(Monat.Tag1)=7,June!Monat.AnUeZUeVM,IF(MONTH(Monat.Tag1)=8,July!Monat.AnUeZUeVM,IF(MONTH(Monat.Tag1)=9,August!Monat.AnUeZUeVM,IF(MONTH(Monat.Tag1)=10,September!Monat.AnUeZUeVM,IF(MONTH(Monat.Tag1)=11,October!Monat.AnUeZUeVM,IF(MONTH(Monat.Tag1)=12,November!Monat.AnUeZUeVM,"")))))))))))),"")</f>
        <v>0</v>
      </c>
      <c r="AL60" s="209"/>
      <c r="AM60" s="246">
        <f ca="1">AH60+AK60</f>
        <v>0</v>
      </c>
      <c r="AN60" s="246">
        <f ca="1">SUM(OFFSET(Jahr.AngÜZ,-12,0,MONTH(Monat.Tag1),1))</f>
        <v>0</v>
      </c>
      <c r="AO60" s="246">
        <f ca="1">Jahr.AngÜZ</f>
        <v>0</v>
      </c>
      <c r="AP60" s="119"/>
    </row>
    <row r="61" spans="1:42" s="38" customFormat="1" ht="15" customHeight="1" x14ac:dyDescent="0.2">
      <c r="A61" s="212" t="s">
        <v>218</v>
      </c>
      <c r="B61" s="27"/>
      <c r="C61" s="27"/>
      <c r="D61" s="27"/>
      <c r="E61" s="27"/>
      <c r="F61" s="27"/>
      <c r="G61" s="27"/>
      <c r="H61" s="27"/>
      <c r="I61" s="27"/>
      <c r="J61" s="27"/>
      <c r="K61" s="27"/>
      <c r="L61" s="27"/>
      <c r="M61" s="27"/>
      <c r="N61" s="27"/>
      <c r="O61" s="27"/>
      <c r="P61" s="27"/>
      <c r="Q61" s="27"/>
      <c r="R61" s="27"/>
      <c r="S61" s="27"/>
      <c r="T61" s="27"/>
      <c r="U61" s="27"/>
      <c r="V61" s="27"/>
      <c r="W61" s="27"/>
      <c r="X61" s="27"/>
      <c r="Y61" s="27"/>
      <c r="Z61" s="39"/>
      <c r="AA61" s="27"/>
      <c r="AB61" s="27"/>
      <c r="AC61" s="27"/>
      <c r="AD61" s="27"/>
      <c r="AE61" s="27"/>
      <c r="AF61" s="205" t="str">
        <f>A61</f>
        <v>Compensation overtime</v>
      </c>
      <c r="AG61" s="218"/>
      <c r="AH61" s="238">
        <f>SUM(B61:AE61)</f>
        <v>0</v>
      </c>
      <c r="AI61" s="214"/>
      <c r="AJ61" s="209"/>
      <c r="AK61" s="209"/>
      <c r="AL61" s="209"/>
      <c r="AM61" s="208"/>
      <c r="AN61" s="209"/>
      <c r="AO61" s="209"/>
      <c r="AP61" s="119"/>
    </row>
    <row r="62" spans="1:42" s="42" customFormat="1" ht="15" hidden="1" customHeight="1" outlineLevel="1" x14ac:dyDescent="0.2">
      <c r="A62" s="248"/>
      <c r="B62" s="253"/>
      <c r="C62" s="253"/>
      <c r="D62" s="253"/>
      <c r="E62" s="191"/>
      <c r="F62" s="253"/>
      <c r="G62" s="253"/>
      <c r="H62" s="253"/>
      <c r="I62" s="253"/>
      <c r="J62" s="251"/>
      <c r="K62" s="253"/>
      <c r="L62" s="252"/>
      <c r="M62" s="253"/>
      <c r="N62" s="253"/>
      <c r="O62" s="253"/>
      <c r="P62" s="253"/>
      <c r="Q62" s="191"/>
      <c r="R62" s="253"/>
      <c r="S62" s="252"/>
      <c r="T62" s="253"/>
      <c r="U62" s="253"/>
      <c r="V62" s="253"/>
      <c r="W62" s="253"/>
      <c r="X62" s="253"/>
      <c r="Y62" s="253"/>
      <c r="Z62" s="191"/>
      <c r="AA62" s="253"/>
      <c r="AB62" s="253"/>
      <c r="AC62" s="253"/>
      <c r="AD62" s="253"/>
      <c r="AE62" s="191"/>
      <c r="AF62" s="267" t="s">
        <v>118</v>
      </c>
      <c r="AG62" s="268"/>
      <c r="AH62" s="238">
        <f ca="1">Monat.AnUeZ.Total-Monat.KomUeZ.Total</f>
        <v>0</v>
      </c>
      <c r="AI62" s="214"/>
      <c r="AJ62" s="257"/>
      <c r="AK62" s="257"/>
      <c r="AL62" s="209"/>
      <c r="AM62" s="257"/>
      <c r="AN62" s="257"/>
      <c r="AO62" s="257"/>
      <c r="AP62" s="163"/>
    </row>
    <row r="63" spans="1:42" s="38" customFormat="1" ht="15" customHeight="1" collapsed="1" x14ac:dyDescent="0.2">
      <c r="A63" s="220"/>
      <c r="B63" s="191"/>
      <c r="C63" s="191"/>
      <c r="D63" s="191"/>
      <c r="E63" s="191"/>
      <c r="F63" s="191"/>
      <c r="G63" s="191"/>
      <c r="H63" s="191"/>
      <c r="I63" s="191"/>
      <c r="J63" s="191"/>
      <c r="K63" s="191"/>
      <c r="L63" s="252"/>
      <c r="M63" s="191"/>
      <c r="N63" s="191"/>
      <c r="O63" s="191"/>
      <c r="P63" s="191"/>
      <c r="Q63" s="191"/>
      <c r="R63" s="191"/>
      <c r="S63" s="252"/>
      <c r="T63" s="191"/>
      <c r="U63" s="191"/>
      <c r="V63" s="191"/>
      <c r="W63" s="191"/>
      <c r="X63" s="253"/>
      <c r="Y63" s="191"/>
      <c r="Z63" s="191"/>
      <c r="AA63" s="191"/>
      <c r="AB63" s="191"/>
      <c r="AC63" s="191"/>
      <c r="AD63" s="191"/>
      <c r="AE63" s="191"/>
      <c r="AF63" s="212" t="s">
        <v>215</v>
      </c>
      <c r="AG63" s="218"/>
      <c r="AH63" s="238">
        <f ca="1">IF(T.50_Vetsuisse,0,IF(AND(AH62&gt;0,Monat.ÜZZSBerechtigt=INDEX(T.JaNein.Bereich,1,1)),ROUND(AH62*0.25*1440,0)/1440,0))</f>
        <v>0</v>
      </c>
      <c r="AI63" s="214"/>
      <c r="AJ63" s="209"/>
      <c r="AK63" s="257"/>
      <c r="AL63" s="209"/>
      <c r="AM63" s="257"/>
      <c r="AN63" s="257"/>
      <c r="AO63" s="257"/>
      <c r="AP63" s="119"/>
    </row>
    <row r="64" spans="1:42" s="38" customFormat="1" ht="15" hidden="1" customHeight="1" outlineLevel="1" x14ac:dyDescent="0.2">
      <c r="A64" s="220"/>
      <c r="B64" s="191"/>
      <c r="C64" s="191"/>
      <c r="D64" s="191"/>
      <c r="E64" s="191"/>
      <c r="F64" s="191"/>
      <c r="G64" s="191"/>
      <c r="H64" s="191"/>
      <c r="I64" s="191"/>
      <c r="J64" s="191"/>
      <c r="K64" s="191"/>
      <c r="L64" s="252"/>
      <c r="M64" s="191"/>
      <c r="N64" s="191"/>
      <c r="O64" s="191"/>
      <c r="P64" s="191"/>
      <c r="Q64" s="191"/>
      <c r="R64" s="191"/>
      <c r="S64" s="252"/>
      <c r="T64" s="191"/>
      <c r="U64" s="191"/>
      <c r="V64" s="191"/>
      <c r="W64" s="191"/>
      <c r="X64" s="253"/>
      <c r="Y64" s="191"/>
      <c r="Z64" s="191"/>
      <c r="AA64" s="191"/>
      <c r="AB64" s="191"/>
      <c r="AC64" s="191"/>
      <c r="AD64" s="191"/>
      <c r="AE64" s="191"/>
      <c r="AF64" s="212" t="s">
        <v>119</v>
      </c>
      <c r="AG64" s="45" t="s">
        <v>2</v>
      </c>
      <c r="AH64" s="46"/>
      <c r="AI64" s="270"/>
      <c r="AJ64" s="209"/>
      <c r="AK64" s="257"/>
      <c r="AL64" s="209"/>
      <c r="AM64" s="257"/>
      <c r="AN64" s="257"/>
      <c r="AO64" s="257"/>
      <c r="AP64" s="119"/>
    </row>
    <row r="65" spans="1:42" s="42" customFormat="1" ht="15" customHeight="1" collapsed="1" x14ac:dyDescent="0.2">
      <c r="A65" s="248"/>
      <c r="B65" s="253"/>
      <c r="C65" s="253"/>
      <c r="D65" s="253"/>
      <c r="E65" s="191"/>
      <c r="F65" s="253"/>
      <c r="G65" s="253"/>
      <c r="H65" s="253"/>
      <c r="I65" s="253"/>
      <c r="J65" s="191"/>
      <c r="K65" s="253"/>
      <c r="L65" s="252"/>
      <c r="M65" s="253"/>
      <c r="N65" s="253"/>
      <c r="O65" s="253"/>
      <c r="P65" s="253"/>
      <c r="Q65" s="191"/>
      <c r="R65" s="253"/>
      <c r="S65" s="252"/>
      <c r="T65" s="253"/>
      <c r="U65" s="253"/>
      <c r="V65" s="253"/>
      <c r="W65" s="253"/>
      <c r="X65" s="253"/>
      <c r="Y65" s="253"/>
      <c r="Z65" s="191"/>
      <c r="AA65" s="253"/>
      <c r="AB65" s="253"/>
      <c r="AC65" s="253"/>
      <c r="AD65" s="253"/>
      <c r="AE65" s="191"/>
      <c r="AF65" s="260" t="s">
        <v>219</v>
      </c>
      <c r="AG65" s="268"/>
      <c r="AH65" s="238">
        <f ca="1">IF(AG64="+",(AH62+AH63+AH64),(AH62+AH63-AH64))</f>
        <v>0</v>
      </c>
      <c r="AI65" s="261"/>
      <c r="AJ65" s="271"/>
      <c r="AK65" s="245">
        <f ca="1">IF(EB.Anwendung&lt;&gt;"",IF(MONTH(Monat.Tag1)=1,EB.UeZ,IF(MONTH(Monat.Tag1)=2,January!Monat.UeZUeVM,IF(MONTH(Monat.Tag1)=3,February!Monat.UeZUeVM,IF(MONTH(Monat.Tag1)=4,March!Monat.UeZUeVM,IF(MONTH(Monat.Tag1)=5,April!Monat.UeZUeVM,IF(MONTH(Monat.Tag1)=6,May!Monat.UeZUeVM,IF(MONTH(Monat.Tag1)=7,June!Monat.UeZUeVM,IF(MONTH(Monat.Tag1)=8,July!Monat.UeZUeVM,IF(MONTH(Monat.Tag1)=9,August!Monat.UeZUeVM,IF(MONTH(Monat.Tag1)=10,September!Monat.UeZUeVM,IF(MONTH(Monat.Tag1)=11,October!Monat.UeZUeVM,IF(MONTH(Monat.Tag1)=12,November!Monat.UeZUeVM,"")))))))))))),"")</f>
        <v>0</v>
      </c>
      <c r="AL65" s="209"/>
      <c r="AM65" s="246">
        <f ca="1">AH65+AK65</f>
        <v>0</v>
      </c>
      <c r="AN65" s="246">
        <f ca="1">SUM(OFFSET(J.UeZ.Total,-12,0,MONTH(Monat.Tag1),1))</f>
        <v>0</v>
      </c>
      <c r="AO65" s="246">
        <f ca="1">J.UeZ.Total</f>
        <v>0</v>
      </c>
      <c r="AP65" s="163"/>
    </row>
    <row r="66" spans="1:42" s="38" customFormat="1" ht="11.25" customHeight="1" outlineLevel="1" x14ac:dyDescent="0.2">
      <c r="A66" s="220"/>
      <c r="B66" s="354">
        <f ca="1">IF(EB.Anwendung&lt;&gt;"",
IF(AND(B$10&gt;TODAY(),$W$7&gt;0,B52&lt;=0),0,
IF(AND(B$10&gt;TODAY(),$W$7&lt;=0,B53&lt;=0),0,
IF(B85&lt;=0,1,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f>
        <v>1</v>
      </c>
      <c r="C66" s="354">
        <f ca="1">IF(EB.Anwendung&lt;&gt;"",
IF(AND(C$10&gt;TODAY(),$W$7&gt;0,C52&lt;=0),0,
IF(AND(C$10&gt;TODAY(),$W$7&lt;=0,C53&lt;=0),0,
IF(C85&lt;=0,1,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f>
        <v>1</v>
      </c>
      <c r="D66" s="354">
        <f ca="1">IF(EB.Anwendung&lt;&gt;"",
IF(AND(D$10&gt;TODAY(),$W$7&gt;0,D52&lt;=0),0,
IF(AND(D$10&gt;TODAY(),$W$7&lt;=0,D53&lt;=0),0,
IF(D85&lt;=0,1,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f>
        <v>1</v>
      </c>
      <c r="E66" s="354">
        <f ca="1">IF(EB.Anwendung&lt;&gt;"",
IF(AND(E$10&gt;TODAY(),$W$7&gt;0,E52&lt;=0),0,
IF(AND(E$10&gt;TODAY(),$W$7&lt;=0,E53&lt;=0),0,
IF(E85&lt;=0,1,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f>
        <v>1</v>
      </c>
      <c r="F66" s="354">
        <f ca="1">IF(EB.Anwendung&lt;&gt;"",
IF(AND(F$10&gt;TODAY(),$W$7&gt;0,F52&lt;=0),0,
IF(AND(F$10&gt;TODAY(),$W$7&lt;=0,F53&lt;=0),0,
IF(F85&lt;=0,1,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f>
        <v>0</v>
      </c>
      <c r="G66" s="354">
        <f ca="1">IF(EB.Anwendung&lt;&gt;"",
IF(AND(G$10&gt;TODAY(),$W$7&gt;0,G52&lt;=0),0,
IF(AND(G$10&gt;TODAY(),$W$7&lt;=0,G53&lt;=0),0,
IF(G85&lt;=0,1,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f>
        <v>0</v>
      </c>
      <c r="H66" s="354">
        <f ca="1">IF(EB.Anwendung&lt;&gt;"",
IF(AND(H$10&gt;TODAY(),$W$7&gt;0,H52&lt;=0),0,
IF(AND(H$10&gt;TODAY(),$W$7&lt;=0,H53&lt;=0),0,
IF(H85&lt;=0,1,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f>
        <v>1</v>
      </c>
      <c r="I66" s="354">
        <f ca="1">IF(EB.Anwendung&lt;&gt;"",
IF(AND(I$10&gt;TODAY(),$W$7&gt;0,I52&lt;=0),0,
IF(AND(I$10&gt;TODAY(),$W$7&lt;=0,I53&lt;=0),0,
IF(I85&lt;=0,1,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f>
        <v>1</v>
      </c>
      <c r="J66" s="354">
        <f ca="1">IF(EB.Anwendung&lt;&gt;"",
IF(AND(J$10&gt;TODAY(),$W$7&gt;0,J52&lt;=0),0,
IF(AND(J$10&gt;TODAY(),$W$7&lt;=0,J53&lt;=0),0,
IF(J85&lt;=0,1,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f>
        <v>1</v>
      </c>
      <c r="K66" s="354">
        <f ca="1">IF(EB.Anwendung&lt;&gt;"",
IF(AND(K$10&gt;TODAY(),$W$7&gt;0,K52&lt;=0),0,
IF(AND(K$10&gt;TODAY(),$W$7&lt;=0,K53&lt;=0),0,
IF(K85&lt;=0,1,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f>
        <v>1</v>
      </c>
      <c r="L66" s="431">
        <f ca="1">IF(EB.Anwendung&lt;&gt;"",
IF(AND(L$10&gt;TODAY(),$W$7&gt;0,L52&lt;=0),0,
IF(AND(L$10&gt;TODAY(),$W$7&lt;=0,L53&lt;=0),0,
IF(L85&lt;=0,1,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f>
        <v>1</v>
      </c>
      <c r="M66" s="354">
        <f ca="1">IF(EB.Anwendung&lt;&gt;"",
IF(AND(M$10&gt;TODAY(),$W$7&gt;0,M52&lt;=0),0,
IF(AND(M$10&gt;TODAY(),$W$7&lt;=0,M53&lt;=0),0,
IF(M85&lt;=0,1,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f>
        <v>0</v>
      </c>
      <c r="N66" s="354">
        <f ca="1">IF(EB.Anwendung&lt;&gt;"",
IF(AND(N$10&gt;TODAY(),$W$7&gt;0,N52&lt;=0),0,
IF(AND(N$10&gt;TODAY(),$W$7&lt;=0,N53&lt;=0),0,
IF(N85&lt;=0,1,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f>
        <v>0</v>
      </c>
      <c r="O66" s="354">
        <f ca="1">IF(EB.Anwendung&lt;&gt;"",
IF(AND(O$10&gt;TODAY(),$W$7&gt;0,O52&lt;=0),0,
IF(AND(O$10&gt;TODAY(),$W$7&lt;=0,O53&lt;=0),0,
IF(O85&lt;=0,1,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f>
        <v>1</v>
      </c>
      <c r="P66" s="354">
        <f ca="1">IF(EB.Anwendung&lt;&gt;"",
IF(AND(P$10&gt;TODAY(),$W$7&gt;0,P52&lt;=0),0,
IF(AND(P$10&gt;TODAY(),$W$7&lt;=0,P53&lt;=0),0,
IF(P85&lt;=0,1,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f>
        <v>1</v>
      </c>
      <c r="Q66" s="354">
        <f ca="1">IF(EB.Anwendung&lt;&gt;"",
IF(AND(Q$10&gt;TODAY(),$W$7&gt;0,Q52&lt;=0),0,
IF(AND(Q$10&gt;TODAY(),$W$7&lt;=0,Q53&lt;=0),0,
IF(Q85&lt;=0,1,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f>
        <v>1</v>
      </c>
      <c r="R66" s="354">
        <f ca="1">IF(EB.Anwendung&lt;&gt;"",
IF(AND(R$10&gt;TODAY(),$W$7&gt;0,R52&lt;=0),0,
IF(AND(R$10&gt;TODAY(),$W$7&lt;=0,R53&lt;=0),0,
IF(R85&lt;=0,1,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f>
        <v>1</v>
      </c>
      <c r="S66" s="431">
        <f ca="1">IF(EB.Anwendung&lt;&gt;"",
IF(AND(S$10&gt;TODAY(),$W$7&gt;0,S52&lt;=0),0,
IF(AND(S$10&gt;TODAY(),$W$7&lt;=0,S53&lt;=0),0,
IF(S85&lt;=0,1,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f>
        <v>1</v>
      </c>
      <c r="T66" s="354">
        <f ca="1">IF(EB.Anwendung&lt;&gt;"",
IF(AND(T$10&gt;TODAY(),$W$7&gt;0,T52&lt;=0),0,
IF(AND(T$10&gt;TODAY(),$W$7&lt;=0,T53&lt;=0),0,
IF(T85&lt;=0,1,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f>
        <v>0</v>
      </c>
      <c r="U66" s="354">
        <f ca="1">IF(EB.Anwendung&lt;&gt;"",
IF(AND(U$10&gt;TODAY(),$W$7&gt;0,U52&lt;=0),0,
IF(AND(U$10&gt;TODAY(),$W$7&lt;=0,U53&lt;=0),0,
IF(U85&lt;=0,1,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f>
        <v>0</v>
      </c>
      <c r="V66" s="354">
        <f ca="1">IF(EB.Anwendung&lt;&gt;"",
IF(AND(V$10&gt;TODAY(),$W$7&gt;0,V52&lt;=0),0,
IF(AND(V$10&gt;TODAY(),$W$7&lt;=0,V53&lt;=0),0,
IF(V85&lt;=0,1,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f>
        <v>1</v>
      </c>
      <c r="W66" s="354">
        <f ca="1">IF(EB.Anwendung&lt;&gt;"",
IF(AND(W$10&gt;TODAY(),$W$7&gt;0,W52&lt;=0),0,
IF(AND(W$10&gt;TODAY(),$W$7&lt;=0,W53&lt;=0),0,
IF(W85&lt;=0,1,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f>
        <v>1</v>
      </c>
      <c r="X66" s="432">
        <f ca="1">IF(EB.Anwendung&lt;&gt;"",
IF(AND(X$10&gt;TODAY(),$W$7&gt;0,X52&lt;=0),0,
IF(AND(X$10&gt;TODAY(),$W$7&lt;=0,X53&lt;=0),0,
IF(X85&lt;=0,1,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f>
        <v>1</v>
      </c>
      <c r="Y66" s="354">
        <f ca="1">IF(EB.Anwendung&lt;&gt;"",
IF(AND(Y$10&gt;TODAY(),$W$7&gt;0,Y52&lt;=0),0,
IF(AND(Y$10&gt;TODAY(),$W$7&lt;=0,Y53&lt;=0),0,
IF(Y85&lt;=0,1,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f>
        <v>1</v>
      </c>
      <c r="Z66" s="354">
        <f ca="1">IF(EB.Anwendung&lt;&gt;"",
IF(AND(Z$10&gt;TODAY(),$W$7&gt;0,Z52&lt;=0),0,
IF(AND(Z$10&gt;TODAY(),$W$7&lt;=0,Z53&lt;=0),0,
IF(Z85&lt;=0,1,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f>
        <v>1</v>
      </c>
      <c r="AA66" s="354">
        <f ca="1">IF(EB.Anwendung&lt;&gt;"",
IF(AND(AA$10&gt;TODAY(),$W$7&gt;0,AA52&lt;=0),0,
IF(AND(AA$10&gt;TODAY(),$W$7&lt;=0,AA53&lt;=0),0,
IF(AA85&lt;=0,1,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f>
        <v>0</v>
      </c>
      <c r="AB66" s="354">
        <f ca="1">IF(EB.Anwendung&lt;&gt;"",
IF(AND(AB$10&gt;TODAY(),$W$7&gt;0,AB52&lt;=0),0,
IF(AND(AB$10&gt;TODAY(),$W$7&lt;=0,AB53&lt;=0),0,
IF(AB85&lt;=0,1,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f>
        <v>0</v>
      </c>
      <c r="AC66" s="354">
        <f ca="1">IF(EB.Anwendung&lt;&gt;"",
IF(AND(AC$10&gt;TODAY(),$W$7&gt;0,AC52&lt;=0),0,
IF(AND(AC$10&gt;TODAY(),$W$7&lt;=0,AC53&lt;=0),0,
IF(AC85&lt;=0,1,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f>
        <v>1</v>
      </c>
      <c r="AD66" s="354">
        <f ca="1">IF(EB.Anwendung&lt;&gt;"",
IF(AND(AD$10&gt;TODAY(),$W$7&gt;0,AD52&lt;=0),0,
IF(AND(AD$10&gt;TODAY(),$W$7&lt;=0,AD53&lt;=0),0,
IF(AD85&lt;=0,1,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f>
        <v>1</v>
      </c>
      <c r="AE66" s="354">
        <f ca="1">IF(EB.Anwendung&lt;&gt;"",
IF(AND(AE$10&gt;TODAY(),$W$7&gt;0,AE52&lt;=0),0,
IF(AND(AE$10&gt;TODAY(),$W$7&lt;=0,AE53&lt;=0),0,
IF(AE85&lt;=0,1,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f>
        <v>1</v>
      </c>
      <c r="AF66" s="212"/>
      <c r="AG66" s="188"/>
      <c r="AH66" s="213"/>
      <c r="AI66" s="214"/>
      <c r="AJ66" s="209"/>
      <c r="AK66" s="209"/>
      <c r="AL66" s="209"/>
      <c r="AM66" s="208"/>
      <c r="AN66" s="209"/>
      <c r="AO66" s="209"/>
      <c r="AP66" s="119"/>
    </row>
    <row r="67" spans="1:42" s="38" customFormat="1" ht="15" customHeight="1" outlineLevel="1" x14ac:dyDescent="0.2">
      <c r="A67" s="212" t="s">
        <v>79</v>
      </c>
      <c r="B67" s="27"/>
      <c r="C67" s="27"/>
      <c r="D67" s="27"/>
      <c r="E67" s="27"/>
      <c r="F67" s="27"/>
      <c r="G67" s="27"/>
      <c r="H67" s="27"/>
      <c r="I67" s="27"/>
      <c r="J67" s="27"/>
      <c r="K67" s="27"/>
      <c r="L67" s="27"/>
      <c r="M67" s="27"/>
      <c r="N67" s="27"/>
      <c r="O67" s="27"/>
      <c r="P67" s="27"/>
      <c r="Q67" s="27"/>
      <c r="R67" s="27"/>
      <c r="S67" s="27"/>
      <c r="T67" s="27"/>
      <c r="U67" s="27"/>
      <c r="V67" s="27"/>
      <c r="W67" s="27"/>
      <c r="X67" s="27"/>
      <c r="Y67" s="27"/>
      <c r="Z67" s="39"/>
      <c r="AA67" s="27"/>
      <c r="AB67" s="27"/>
      <c r="AC67" s="27"/>
      <c r="AD67" s="27"/>
      <c r="AE67" s="27"/>
      <c r="AF67" s="205" t="str">
        <f ca="1">A67 &amp; IFERROR(IF(SUMPRODUCT((B66:AE66=0)*(B67:AE67&gt;0))&gt;0," (!)",""),"")</f>
        <v>Compensation working hours</v>
      </c>
      <c r="AG67" s="218"/>
      <c r="AH67" s="238">
        <f>SUM(B67:AE67)</f>
        <v>0</v>
      </c>
      <c r="AI67" s="261"/>
      <c r="AJ67" s="245">
        <f ca="1">OFFSET(EB.MKAStd.Knoten,MONTH(Monat.Tag1),0,1,1)</f>
        <v>0.4375</v>
      </c>
      <c r="AK67" s="272">
        <f ca="1">IF(EB.Anwendung&lt;&gt;"",IF(MONTH(Monat.Tag1)=1,0,IF(MONTH(Monat.Tag1)=2,January!Monat.KomUeVM,IF(MONTH(Monat.Tag1)=3,February!Monat.KomUeVM,IF(MONTH(Monat.Tag1)=4,March!Monat.KomUeVM,IF(MONTH(Monat.Tag1)=5,April!Monat.KomUeVM,IF(MONTH(Monat.Tag1)=6,May!Monat.KomUeVM,IF(MONTH(Monat.Tag1)=7,June!Monat.KomUeVM,IF(MONTH(Monat.Tag1)=8,July!Monat.KomUeVM,IF(MONTH(Monat.Tag1)=9,August!Monat.KomUeVM,IF(MONTH(Monat.Tag1)=10,September!Monat.KomUeVM,IF(MONTH(Monat.Tag1)=11,October!Monat.KomUeVM,IF(MONTH(Monat.Tag1)=12,November!Monat.KomUeVM,"")))))))))))),"")</f>
        <v>3.5</v>
      </c>
      <c r="AL67" s="209"/>
      <c r="AM67" s="246">
        <f ca="1">AJ67+AK67-Monat.KomAZ.Total</f>
        <v>3.9375</v>
      </c>
      <c r="AN67" s="246">
        <f ca="1">Jahresabrechnung!P12-SUM(OFFSET(Jahresabrechnung!P15,0,0,MONTH(Monat.Tag1),1))</f>
        <v>5.25</v>
      </c>
      <c r="AO67" s="246">
        <f ca="1">Jahresabrechnung!P28</f>
        <v>5.25</v>
      </c>
      <c r="AP67" s="119"/>
    </row>
    <row r="68" spans="1:42" s="38" customFormat="1" ht="11.25" customHeight="1" x14ac:dyDescent="0.2">
      <c r="A68" s="220"/>
      <c r="B68" s="434">
        <f ca="1">IF(EB.Anwendung&lt;&gt;"",
IF(B67&gt;0,0,
IF(SUM(B23,B45)&gt;0,1,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
)),"")</f>
        <v>1</v>
      </c>
      <c r="C68" s="434">
        <f ca="1">IF(EB.Anwendung&lt;&gt;"",
IF(C67&gt;0,0,
IF(SUM(C23,C45)&gt;0,1,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
)),"")</f>
        <v>1</v>
      </c>
      <c r="D68" s="434">
        <f ca="1">IF(EB.Anwendung&lt;&gt;"",
IF(D67&gt;0,0,
IF(SUM(D23,D45)&gt;0,1,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
)),"")</f>
        <v>1</v>
      </c>
      <c r="E68" s="434">
        <f ca="1">IF(EB.Anwendung&lt;&gt;"",
IF(E67&gt;0,0,
IF(SUM(E23,E45)&gt;0,1,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
)),"")</f>
        <v>1</v>
      </c>
      <c r="F68" s="434">
        <f ca="1">IF(EB.Anwendung&lt;&gt;"",
IF(F67&gt;0,0,
IF(SUM(F23,F45)&gt;0,1,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
)),"")</f>
        <v>1</v>
      </c>
      <c r="G68" s="434">
        <f ca="1">IF(EB.Anwendung&lt;&gt;"",
IF(G67&gt;0,0,
IF(SUM(G23,G45)&gt;0,1,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
)),"")</f>
        <v>1</v>
      </c>
      <c r="H68" s="434">
        <f ca="1">IF(EB.Anwendung&lt;&gt;"",
IF(H67&gt;0,0,
IF(SUM(H23,H45)&gt;0,1,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
)),"")</f>
        <v>1</v>
      </c>
      <c r="I68" s="434">
        <f ca="1">IF(EB.Anwendung&lt;&gt;"",
IF(I67&gt;0,0,
IF(SUM(I23,I45)&gt;0,1,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
)),"")</f>
        <v>1</v>
      </c>
      <c r="J68" s="434">
        <f ca="1">IF(EB.Anwendung&lt;&gt;"",
IF(J67&gt;0,0,
IF(SUM(J23,J45)&gt;0,1,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
)),"")</f>
        <v>1</v>
      </c>
      <c r="K68" s="434">
        <f ca="1">IF(EB.Anwendung&lt;&gt;"",
IF(K67&gt;0,0,
IF(SUM(K23,K45)&gt;0,1,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
)),"")</f>
        <v>1</v>
      </c>
      <c r="L68" s="434">
        <f ca="1">IF(EB.Anwendung&lt;&gt;"",
IF(L67&gt;0,0,
IF(SUM(L23,L45)&gt;0,1,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
)),"")</f>
        <v>1</v>
      </c>
      <c r="M68" s="434">
        <f ca="1">IF(EB.Anwendung&lt;&gt;"",
IF(M67&gt;0,0,
IF(SUM(M23,M45)&gt;0,1,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
)),"")</f>
        <v>1</v>
      </c>
      <c r="N68" s="434">
        <f ca="1">IF(EB.Anwendung&lt;&gt;"",
IF(N67&gt;0,0,
IF(SUM(N23,N45)&gt;0,1,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
)),"")</f>
        <v>1</v>
      </c>
      <c r="O68" s="434">
        <f ca="1">IF(EB.Anwendung&lt;&gt;"",
IF(O67&gt;0,0,
IF(SUM(O23,O45)&gt;0,1,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
)),"")</f>
        <v>1</v>
      </c>
      <c r="P68" s="434">
        <f ca="1">IF(EB.Anwendung&lt;&gt;"",
IF(P67&gt;0,0,
IF(SUM(P23,P45)&gt;0,1,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
)),"")</f>
        <v>1</v>
      </c>
      <c r="Q68" s="434">
        <f ca="1">IF(EB.Anwendung&lt;&gt;"",
IF(Q67&gt;0,0,
IF(SUM(Q23,Q45)&gt;0,1,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
)),"")</f>
        <v>1</v>
      </c>
      <c r="R68" s="434">
        <f ca="1">IF(EB.Anwendung&lt;&gt;"",
IF(R67&gt;0,0,
IF(SUM(R23,R45)&gt;0,1,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
)),"")</f>
        <v>1</v>
      </c>
      <c r="S68" s="434">
        <f ca="1">IF(EB.Anwendung&lt;&gt;"",
IF(S67&gt;0,0,
IF(SUM(S23,S45)&gt;0,1,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
)),"")</f>
        <v>1</v>
      </c>
      <c r="T68" s="434">
        <f ca="1">IF(EB.Anwendung&lt;&gt;"",
IF(T67&gt;0,0,
IF(SUM(T23,T45)&gt;0,1,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
)),"")</f>
        <v>1</v>
      </c>
      <c r="U68" s="434">
        <f ca="1">IF(EB.Anwendung&lt;&gt;"",
IF(U67&gt;0,0,
IF(SUM(U23,U45)&gt;0,1,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
)),"")</f>
        <v>1</v>
      </c>
      <c r="V68" s="434">
        <f ca="1">IF(EB.Anwendung&lt;&gt;"",
IF(V67&gt;0,0,
IF(SUM(V23,V45)&gt;0,1,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
)),"")</f>
        <v>1</v>
      </c>
      <c r="W68" s="434">
        <f ca="1">IF(EB.Anwendung&lt;&gt;"",
IF(W67&gt;0,0,
IF(SUM(W23,W45)&gt;0,1,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
)),"")</f>
        <v>1</v>
      </c>
      <c r="X68" s="434">
        <f ca="1">IF(EB.Anwendung&lt;&gt;"",
IF(X67&gt;0,0,
IF(SUM(X23,X45)&gt;0,1,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
)),"")</f>
        <v>1</v>
      </c>
      <c r="Y68" s="434">
        <f ca="1">IF(EB.Anwendung&lt;&gt;"",
IF(Y67&gt;0,0,
IF(SUM(Y23,Y45)&gt;0,1,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
)),"")</f>
        <v>1</v>
      </c>
      <c r="Z68" s="434">
        <f ca="1">IF(EB.Anwendung&lt;&gt;"",
IF(Z67&gt;0,0,
IF(SUM(Z23,Z45)&gt;0,1,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
)),"")</f>
        <v>1</v>
      </c>
      <c r="AA68" s="434">
        <f ca="1">IF(EB.Anwendung&lt;&gt;"",
IF(AA67&gt;0,0,
IF(SUM(AA23,AA45)&gt;0,1,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
)),"")</f>
        <v>1</v>
      </c>
      <c r="AB68" s="434">
        <f ca="1">IF(EB.Anwendung&lt;&gt;"",
IF(AB67&gt;0,0,
IF(SUM(AB23,AB45)&gt;0,1,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
)),"")</f>
        <v>1</v>
      </c>
      <c r="AC68" s="434">
        <f ca="1">IF(EB.Anwendung&lt;&gt;"",
IF(AC67&gt;0,0,
IF(SUM(AC23,AC45)&gt;0,1,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
)),"")</f>
        <v>1</v>
      </c>
      <c r="AD68" s="434">
        <f ca="1">IF(EB.Anwendung&lt;&gt;"",
IF(AD67&gt;0,0,
IF(SUM(AD23,AD45)&gt;0,1,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
)),"")</f>
        <v>1</v>
      </c>
      <c r="AE68" s="434">
        <f ca="1">IF(EB.Anwendung&lt;&gt;"",
IF(AE67&gt;0,0,
IF(SUM(AE23,AE45)&gt;0,1,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
)),"")</f>
        <v>1</v>
      </c>
      <c r="AF68" s="205"/>
      <c r="AG68" s="188"/>
      <c r="AH68" s="213"/>
      <c r="AI68" s="214"/>
      <c r="AJ68" s="209"/>
      <c r="AK68" s="209"/>
      <c r="AL68" s="209"/>
      <c r="AM68" s="436">
        <f ca="1">IF(OFFSET(A68,0,DAY(EOMONTH(Monat.Tag1,0)))=0,0,1)</f>
        <v>1</v>
      </c>
      <c r="AN68" s="209"/>
      <c r="AO68" s="209"/>
      <c r="AP68" s="119"/>
    </row>
    <row r="69" spans="1:42" s="38" customFormat="1" ht="15" hidden="1" customHeight="1" x14ac:dyDescent="0.2">
      <c r="A69" s="212" t="s">
        <v>220</v>
      </c>
      <c r="B69" s="273">
        <f t="shared" ref="B69:AE69" ca="1" si="19">IF(AND(T.50_Vetsuisse,B72=INDEX(T.JaNein.Bereich,1,1),B73&gt;0,MOD(IFERROR(MATCH(1,B13:B22,0),1),2)=0),1,
IF(AND(T.ServiceCenterIrchel,B72=INDEX(T.JaNein.Bereich,1,1),B77&gt;0),1,
IF(AND(T.50_Vetsuisse=FALSE,T.ServiceCenterIrchel=FALSE,B77&gt;0),1,0)))</f>
        <v>0</v>
      </c>
      <c r="C69" s="273">
        <f t="shared" ca="1" si="19"/>
        <v>0</v>
      </c>
      <c r="D69" s="273">
        <f t="shared" ca="1" si="19"/>
        <v>0</v>
      </c>
      <c r="E69" s="273">
        <f t="shared" ca="1" si="19"/>
        <v>0</v>
      </c>
      <c r="F69" s="273">
        <f t="shared" ca="1" si="19"/>
        <v>0</v>
      </c>
      <c r="G69" s="273">
        <f t="shared" ca="1" si="19"/>
        <v>0</v>
      </c>
      <c r="H69" s="273">
        <f t="shared" ca="1" si="19"/>
        <v>0</v>
      </c>
      <c r="I69" s="273">
        <f t="shared" ca="1" si="19"/>
        <v>0</v>
      </c>
      <c r="J69" s="273">
        <f t="shared" ca="1" si="19"/>
        <v>0</v>
      </c>
      <c r="K69" s="273">
        <f t="shared" ca="1" si="19"/>
        <v>0</v>
      </c>
      <c r="L69" s="273">
        <f t="shared" ca="1" si="19"/>
        <v>0</v>
      </c>
      <c r="M69" s="273">
        <f t="shared" ca="1" si="19"/>
        <v>0</v>
      </c>
      <c r="N69" s="273">
        <f t="shared" ca="1" si="19"/>
        <v>0</v>
      </c>
      <c r="O69" s="273">
        <f t="shared" ca="1" si="19"/>
        <v>0</v>
      </c>
      <c r="P69" s="273">
        <f t="shared" ca="1" si="19"/>
        <v>0</v>
      </c>
      <c r="Q69" s="273">
        <f t="shared" ca="1" si="19"/>
        <v>0</v>
      </c>
      <c r="R69" s="273">
        <f t="shared" ca="1" si="19"/>
        <v>0</v>
      </c>
      <c r="S69" s="273">
        <f t="shared" ca="1" si="19"/>
        <v>0</v>
      </c>
      <c r="T69" s="273">
        <f t="shared" ca="1" si="19"/>
        <v>0</v>
      </c>
      <c r="U69" s="273">
        <f t="shared" ca="1" si="19"/>
        <v>0</v>
      </c>
      <c r="V69" s="273">
        <f t="shared" ca="1" si="19"/>
        <v>0</v>
      </c>
      <c r="W69" s="273">
        <f t="shared" ca="1" si="19"/>
        <v>0</v>
      </c>
      <c r="X69" s="273">
        <f t="shared" ca="1" si="19"/>
        <v>0</v>
      </c>
      <c r="Y69" s="273">
        <f t="shared" ca="1" si="19"/>
        <v>0</v>
      </c>
      <c r="Z69" s="273">
        <f t="shared" ca="1" si="19"/>
        <v>0</v>
      </c>
      <c r="AA69" s="273">
        <f t="shared" ca="1" si="19"/>
        <v>0</v>
      </c>
      <c r="AB69" s="273">
        <f t="shared" ca="1" si="19"/>
        <v>0</v>
      </c>
      <c r="AC69" s="273">
        <f t="shared" ca="1" si="19"/>
        <v>0</v>
      </c>
      <c r="AD69" s="273">
        <f t="shared" ca="1" si="19"/>
        <v>0</v>
      </c>
      <c r="AE69" s="273">
        <f t="shared" ca="1" si="19"/>
        <v>0</v>
      </c>
      <c r="AF69" s="205" t="str">
        <f>A69</f>
        <v>Counter night shift</v>
      </c>
      <c r="AG69" s="274"/>
      <c r="AH69" s="275">
        <f ca="1">SUM(B69:AE69)</f>
        <v>0</v>
      </c>
      <c r="AI69" s="261"/>
      <c r="AJ69" s="224"/>
      <c r="AK69" s="276">
        <f ca="1">IF(EB.Anwendung&lt;&gt;"",IF(MONTH(Monat.Tag1)=1,0,IF(MONTH(Monat.Tag1)=2,January!Monat.ZählerNDUe,IF(MONTH(Monat.Tag1)=3,February!Monat.ZählerNDUe,IF(MONTH(Monat.Tag1)=4,March!Monat.ZählerNDUe,IF(MONTH(Monat.Tag1)=5,April!Monat.ZählerNDUe,IF(MONTH(Monat.Tag1)=6,May!Monat.ZählerNDUe,IF(MONTH(Monat.Tag1)=7,June!Monat.ZählerNDUe,IF(MONTH(Monat.Tag1)=8,July!Monat.ZählerNDUe,IF(MONTH(Monat.Tag1)=9,August!Monat.ZählerNDUe,IF(MONTH(Monat.Tag1)=10,September!Monat.ZählerNDUe,IF(MONTH(Monat.Tag1)=11,October!Monat.ZählerNDUe,IF(MONTH(Monat.Tag1)=12,November!Monat.ZählerNDUe,"")))))))))))),"")</f>
        <v>0</v>
      </c>
      <c r="AL69" s="209"/>
      <c r="AM69" s="277">
        <f ca="1">AK69+AH69</f>
        <v>0</v>
      </c>
      <c r="AN69" s="208"/>
      <c r="AO69" s="208"/>
      <c r="AP69" s="119"/>
    </row>
    <row r="70" spans="1:42" s="38" customFormat="1" ht="15" hidden="1" customHeight="1" x14ac:dyDescent="0.2">
      <c r="A70" s="212" t="s">
        <v>221</v>
      </c>
      <c r="B70" s="273">
        <f t="shared" ref="B70:AE70" ca="1" si="20">IF(DAY(B$10)=1,$AK$69,A70)+B69</f>
        <v>0</v>
      </c>
      <c r="C70" s="273">
        <f t="shared" ca="1" si="20"/>
        <v>0</v>
      </c>
      <c r="D70" s="273">
        <f t="shared" ca="1" si="20"/>
        <v>0</v>
      </c>
      <c r="E70" s="273">
        <f t="shared" ca="1" si="20"/>
        <v>0</v>
      </c>
      <c r="F70" s="273">
        <f t="shared" ca="1" si="20"/>
        <v>0</v>
      </c>
      <c r="G70" s="273">
        <f t="shared" ca="1" si="20"/>
        <v>0</v>
      </c>
      <c r="H70" s="273">
        <f t="shared" ca="1" si="20"/>
        <v>0</v>
      </c>
      <c r="I70" s="273">
        <f t="shared" ca="1" si="20"/>
        <v>0</v>
      </c>
      <c r="J70" s="273">
        <f t="shared" ca="1" si="20"/>
        <v>0</v>
      </c>
      <c r="K70" s="273">
        <f t="shared" ca="1" si="20"/>
        <v>0</v>
      </c>
      <c r="L70" s="273">
        <f t="shared" ca="1" si="20"/>
        <v>0</v>
      </c>
      <c r="M70" s="273">
        <f t="shared" ca="1" si="20"/>
        <v>0</v>
      </c>
      <c r="N70" s="273">
        <f t="shared" ca="1" si="20"/>
        <v>0</v>
      </c>
      <c r="O70" s="273">
        <f t="shared" ca="1" si="20"/>
        <v>0</v>
      </c>
      <c r="P70" s="273">
        <f t="shared" ca="1" si="20"/>
        <v>0</v>
      </c>
      <c r="Q70" s="273">
        <f t="shared" ca="1" si="20"/>
        <v>0</v>
      </c>
      <c r="R70" s="273">
        <f t="shared" ca="1" si="20"/>
        <v>0</v>
      </c>
      <c r="S70" s="273">
        <f t="shared" ca="1" si="20"/>
        <v>0</v>
      </c>
      <c r="T70" s="273">
        <f t="shared" ca="1" si="20"/>
        <v>0</v>
      </c>
      <c r="U70" s="273">
        <f t="shared" ca="1" si="20"/>
        <v>0</v>
      </c>
      <c r="V70" s="273">
        <f t="shared" ca="1" si="20"/>
        <v>0</v>
      </c>
      <c r="W70" s="273">
        <f t="shared" ca="1" si="20"/>
        <v>0</v>
      </c>
      <c r="X70" s="273">
        <f t="shared" ca="1" si="20"/>
        <v>0</v>
      </c>
      <c r="Y70" s="273">
        <f t="shared" ca="1" si="20"/>
        <v>0</v>
      </c>
      <c r="Z70" s="273">
        <f t="shared" ca="1" si="20"/>
        <v>0</v>
      </c>
      <c r="AA70" s="273">
        <f t="shared" ca="1" si="20"/>
        <v>0</v>
      </c>
      <c r="AB70" s="273">
        <f t="shared" ca="1" si="20"/>
        <v>0</v>
      </c>
      <c r="AC70" s="273">
        <f t="shared" ca="1" si="20"/>
        <v>0</v>
      </c>
      <c r="AD70" s="273">
        <f t="shared" ca="1" si="20"/>
        <v>0</v>
      </c>
      <c r="AE70" s="273">
        <f t="shared" ca="1" si="20"/>
        <v>0</v>
      </c>
      <c r="AF70" s="205" t="str">
        <f>A70</f>
        <v>Balance counter night shift</v>
      </c>
      <c r="AG70" s="228"/>
      <c r="AH70" s="224"/>
      <c r="AI70" s="278"/>
      <c r="AJ70" s="262"/>
      <c r="AK70" s="262"/>
      <c r="AL70" s="209"/>
      <c r="AM70" s="279"/>
      <c r="AN70" s="208"/>
      <c r="AO70" s="208"/>
      <c r="AP70" s="119"/>
    </row>
    <row r="71" spans="1:42" s="38" customFormat="1" ht="15" hidden="1" customHeight="1" outlineLevel="1" x14ac:dyDescent="0.2">
      <c r="A71" s="212" t="s">
        <v>222</v>
      </c>
      <c r="B71" s="40"/>
      <c r="C71" s="40"/>
      <c r="D71" s="40"/>
      <c r="E71" s="27"/>
      <c r="F71" s="40"/>
      <c r="G71" s="40"/>
      <c r="H71" s="40"/>
      <c r="I71" s="40"/>
      <c r="J71" s="27"/>
      <c r="K71" s="40"/>
      <c r="L71" s="27"/>
      <c r="M71" s="40"/>
      <c r="N71" s="40"/>
      <c r="O71" s="40"/>
      <c r="P71" s="40"/>
      <c r="Q71" s="27"/>
      <c r="R71" s="40"/>
      <c r="S71" s="27"/>
      <c r="T71" s="27"/>
      <c r="U71" s="40"/>
      <c r="V71" s="40"/>
      <c r="W71" s="40"/>
      <c r="X71" s="27"/>
      <c r="Y71" s="40"/>
      <c r="Z71" s="39"/>
      <c r="AA71" s="40"/>
      <c r="AB71" s="40"/>
      <c r="AC71" s="40"/>
      <c r="AD71" s="40"/>
      <c r="AE71" s="27"/>
      <c r="AF71" s="205" t="str">
        <f>A71</f>
        <v>Compensation TS night shift</v>
      </c>
      <c r="AG71" s="218"/>
      <c r="AH71" s="238">
        <f>SUM(B71:AE71)</f>
        <v>0</v>
      </c>
      <c r="AI71" s="261"/>
      <c r="AJ71" s="262"/>
      <c r="AK71" s="245">
        <f ca="1">IF(EB.Anwendung&lt;&gt;"",IF(MONTH(Monat.Tag1)=1,0,IF(MONTH(Monat.Tag1)=2,January!Monat.KompZZSNDUeVM,IF(MONTH(Monat.Tag1)=3,February!Monat.KompZZSNDUeVM,IF(MONTH(Monat.Tag1)=4,March!Monat.KompZZSNDUeVM,IF(MONTH(Monat.Tag1)=5,April!Monat.KompZZSNDUeVM,IF(MONTH(Monat.Tag1)=6,May!Monat.KompZZSNDUeVM,IF(MONTH(Monat.Tag1)=7,June!Monat.KompZZSNDUeVM,IF(MONTH(Monat.Tag1)=8,July!Monat.KompZZSNDUeVM,IF(MONTH(Monat.Tag1)=9,August!Monat.KompZZSNDUeVM,IF(MONTH(Monat.Tag1)=10,September!Monat.KompZZSNDUeVM,IF(MONTH(Monat.Tag1)=11,October!Monat.KompZZSNDUeVM,IF(MONTH(Monat.Tag1)=12,November!Monat.KompZZSNDUeVM,"")))))))))))),"")</f>
        <v>0</v>
      </c>
      <c r="AL71" s="209"/>
      <c r="AM71" s="246">
        <f ca="1">AH71+AK71</f>
        <v>0</v>
      </c>
      <c r="AN71" s="246">
        <f ca="1">SUM(OFFSET(Jahr.KompZZSND,-12,0,MONTH(Monat.Tag1),1))</f>
        <v>0</v>
      </c>
      <c r="AO71" s="246">
        <f ca="1">Jahr.KompZZSND</f>
        <v>0</v>
      </c>
      <c r="AP71" s="119"/>
    </row>
    <row r="72" spans="1:42" s="38" customFormat="1" ht="15" hidden="1" customHeight="1" outlineLevel="1" x14ac:dyDescent="0.2">
      <c r="A72" s="212" t="s">
        <v>223</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205" t="str">
        <f>A72</f>
        <v>Start pl. night shift Yes/No</v>
      </c>
      <c r="AG72" s="218"/>
      <c r="AH72" s="224"/>
      <c r="AI72" s="229">
        <f ca="1">IFERROR(SUMPRODUCT((B72:AE72=INDEX(T.JaNein.Bereich,1))*(B72:AE72&lt;&gt;"")),0)</f>
        <v>0</v>
      </c>
      <c r="AJ72" s="262"/>
      <c r="AK72" s="229">
        <f ca="1">AK69</f>
        <v>0</v>
      </c>
      <c r="AL72" s="209"/>
      <c r="AM72" s="277">
        <f ca="1">AM69</f>
        <v>0</v>
      </c>
      <c r="AN72" s="209"/>
      <c r="AO72" s="209"/>
      <c r="AP72" s="119"/>
    </row>
    <row r="73" spans="1:42" s="38" customFormat="1" ht="15" customHeight="1" outlineLevel="1" x14ac:dyDescent="0.2">
      <c r="A73" s="212" t="s">
        <v>88</v>
      </c>
      <c r="B73" s="280">
        <f t="shared" ref="B73:AE73" ca="1" si="21">IF(B$12=0,0,IF(OR(T.50_Vetsuisse,T.ServiceCenterIrchel),ROUND((B14-B13+MAX(0,T.Nachtab-MAX(T.Nachtbis,B14))-MAX(0,T.Nachtab-MAX(B13,T.Nachtbis))+(B13&gt;B14)*(1+T.Nachtbis-T.Nachtab)+B16-B15+MAX(0,T.Nachtab-MAX(T.Nachtbis,B16))-MAX(0,T.Nachtab-MAX(B15,T.Nachtbis))+(B15&gt;B16)*(1+T.Nachtbis-T.Nachtab)+B18-B17+MAX(0,T.Nachtab-MAX(T.Nachtbis,B18))-MAX(0,T.Nachtab-MAX(B17,T.Nachtbis))+(B17&gt;B18)*(1+T.Nachtbis-T.Nachtab)+B20-B19+MAX(0,T.Nachtab-MAX(T.Nachtbis,B20))-MAX(0,T.Nachtab-MAX(B19,T.Nachtbis))+(B19&gt;B20)*(1+T.Nachtbis-T.Nachtab)+B22-B21+MAX(0,T.Nachtab-MAX(T.Nachtbis,B22))-MAX(0,T.Nachtab-MAX(B21,T.Nachtbis))+(B21&gt;B22)*(1+T.Nachtbis-T.Nachtab))*1440,0)/1440,
IF(AND(WEEKDAY(B$10,2)&lt;6,B$11&lt;&gt;0),ROUND((B36-B35+MAX(0,T.Nachtab-MAX(T.Nachtbis,B36))-MAX(0,T.Nachtab-MAX(B35,T.Nachtbis))+(B35&gt;B36)*(1+T.Nachtbis-T.Nachtab)+B38-B37+MAX(0,T.Nachtab-MAX(T.Nachtbis,B38))-MAX(0,T.Nachtab-MAX(B37,T.Nachtbis))+(B37&gt;B38)*(1+T.Nachtbis-T.Nachtab)+B40-B39+MAX(0,T.Nachtab-MAX(T.Nachtbis,B40))-MAX(0,T.Nachtab-MAX(B39,T.Nachtbis))+(B39&gt;B40)*(1+T.Nachtbis-T.Nachtab)+B42-B41+MAX(0,T.Nachtab-MAX(T.Nachtbis,B42))-MAX(0,T.Nachtab-MAX(B41,T.Nachtbis))+(B41&gt;B42)*(1+T.Nachtbis-T.Nachtab)+B44-B43+MAX(0,T.Nachtab-MAX(T.Nachtbis,B44))-MAX(0,T.Nachtab-MAX(B43,T.Nachtbis))+(B43&gt;B44)*(1+T.Nachtbis-T.Nachtab))*1440,0)/1440,0)))</f>
        <v>0</v>
      </c>
      <c r="C73" s="280">
        <f t="shared" ca="1" si="21"/>
        <v>0</v>
      </c>
      <c r="D73" s="280">
        <f t="shared" ca="1" si="21"/>
        <v>0</v>
      </c>
      <c r="E73" s="280">
        <f t="shared" ca="1" si="21"/>
        <v>0</v>
      </c>
      <c r="F73" s="280">
        <f t="shared" ca="1" si="21"/>
        <v>0</v>
      </c>
      <c r="G73" s="280">
        <f t="shared" ca="1" si="21"/>
        <v>0</v>
      </c>
      <c r="H73" s="280">
        <f t="shared" ca="1" si="21"/>
        <v>0</v>
      </c>
      <c r="I73" s="280">
        <f t="shared" ca="1" si="21"/>
        <v>0</v>
      </c>
      <c r="J73" s="280">
        <f t="shared" ca="1" si="21"/>
        <v>0</v>
      </c>
      <c r="K73" s="280">
        <f t="shared" ca="1" si="21"/>
        <v>0</v>
      </c>
      <c r="L73" s="280">
        <f t="shared" ca="1" si="21"/>
        <v>0</v>
      </c>
      <c r="M73" s="280">
        <f t="shared" ca="1" si="21"/>
        <v>0</v>
      </c>
      <c r="N73" s="280">
        <f t="shared" ca="1" si="21"/>
        <v>0</v>
      </c>
      <c r="O73" s="280">
        <f t="shared" ca="1" si="21"/>
        <v>0</v>
      </c>
      <c r="P73" s="280">
        <f t="shared" ca="1" si="21"/>
        <v>0</v>
      </c>
      <c r="Q73" s="280">
        <f t="shared" ca="1" si="21"/>
        <v>0</v>
      </c>
      <c r="R73" s="280">
        <f t="shared" ca="1" si="21"/>
        <v>0</v>
      </c>
      <c r="S73" s="280">
        <f t="shared" ca="1" si="21"/>
        <v>0</v>
      </c>
      <c r="T73" s="280">
        <f t="shared" ca="1" si="21"/>
        <v>0</v>
      </c>
      <c r="U73" s="280">
        <f t="shared" ca="1" si="21"/>
        <v>0</v>
      </c>
      <c r="V73" s="280">
        <f t="shared" ca="1" si="21"/>
        <v>0</v>
      </c>
      <c r="W73" s="280">
        <f t="shared" ca="1" si="21"/>
        <v>0</v>
      </c>
      <c r="X73" s="280">
        <f t="shared" ca="1" si="21"/>
        <v>0</v>
      </c>
      <c r="Y73" s="280">
        <f t="shared" ca="1" si="21"/>
        <v>0</v>
      </c>
      <c r="Z73" s="280">
        <f t="shared" ca="1" si="21"/>
        <v>0</v>
      </c>
      <c r="AA73" s="280">
        <f t="shared" ca="1" si="21"/>
        <v>0</v>
      </c>
      <c r="AB73" s="280">
        <f t="shared" ca="1" si="21"/>
        <v>0</v>
      </c>
      <c r="AC73" s="280">
        <f t="shared" ca="1" si="21"/>
        <v>0</v>
      </c>
      <c r="AD73" s="280">
        <f t="shared" ca="1" si="21"/>
        <v>0</v>
      </c>
      <c r="AE73" s="280">
        <f t="shared" ca="1" si="21"/>
        <v>0</v>
      </c>
      <c r="AF73" s="205" t="str">
        <f>A73</f>
        <v>Night shift</v>
      </c>
      <c r="AG73" s="228"/>
      <c r="AH73" s="238">
        <f ca="1">SUM(B73:AE73)</f>
        <v>0</v>
      </c>
      <c r="AI73" s="229">
        <f ca="1">IF(OR(T.50_Vetsuisse,T.ServiceCenterIrchel),AH69,
IFERROR(SUMPRODUCT((B77:AE77&gt;0)*(B77:AE77&lt;&gt;"")),0))</f>
        <v>0</v>
      </c>
      <c r="AJ73" s="224"/>
      <c r="AK73" s="245">
        <f ca="1">IF(EB.Anwendung&lt;&gt;"",IF(MONTH(Monat.Tag1)=1,0,IF(MONTH(Monat.Tag1)=2,January!Monat.NDUeVM,IF(MONTH(Monat.Tag1)=3,February!Monat.NDUeVM,IF(MONTH(Monat.Tag1)=4,March!Monat.NDUeVM,IF(MONTH(Monat.Tag1)=5,April!Monat.NDUeVM,IF(MONTH(Monat.Tag1)=6,May!Monat.NDUeVM,IF(MONTH(Monat.Tag1)=7,June!Monat.NDUeVM,IF(MONTH(Monat.Tag1)=8,July!Monat.NDUeVM,IF(MONTH(Monat.Tag1)=9,August!Monat.NDUeVM,IF(MONTH(Monat.Tag1)=10,September!Monat.NDUeVM,IF(MONTH(Monat.Tag1)=11,October!Monat.NDUeVM,IF(MONTH(Monat.Tag1)=12,November!Monat.NDUeVM,"")))))))))))),"")</f>
        <v>0</v>
      </c>
      <c r="AL73" s="209"/>
      <c r="AM73" s="246">
        <f ca="1">AH73+AK73</f>
        <v>0</v>
      </c>
      <c r="AN73" s="208"/>
      <c r="AO73" s="208"/>
      <c r="AP73" s="119"/>
    </row>
    <row r="74" spans="1:42" s="38" customFormat="1" ht="3.75" hidden="1" customHeight="1" x14ac:dyDescent="0.2">
      <c r="A74" s="220"/>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205"/>
      <c r="AG74" s="188"/>
      <c r="AH74" s="213"/>
      <c r="AI74" s="214"/>
      <c r="AJ74" s="209"/>
      <c r="AK74" s="209"/>
      <c r="AL74" s="209"/>
      <c r="AM74" s="208"/>
      <c r="AN74" s="209"/>
      <c r="AO74" s="209"/>
      <c r="AP74" s="119"/>
    </row>
    <row r="75" spans="1:42" s="38" customFormat="1" ht="16.5" hidden="1" customHeight="1" outlineLevel="1" x14ac:dyDescent="0.2">
      <c r="A75" s="215" t="s">
        <v>252</v>
      </c>
      <c r="B75" s="216">
        <f t="shared" ref="B75:AE75" ca="1" si="22">IF(B73&gt;0,ROUND((B73-
IF(B13&lt;T.Nachtbis,MIN(T.Nachtbis-B13,B14-B13)+IF(B15&lt;T.Nachtbis,MIN(T.Nachtbis-B15,B16-B15)+IF(B17&lt;T.Nachtbis,MIN(T.Nachtbis-B17,B18-B17)+IF(B19&lt;T.Nachtbis,MIN(T.Nachtbis-B19,B20-B19)+IF(B21&lt;T.Nachtbis,MIN(T.Nachtbis-B21,B22-B21),0),0),0),0),0))*1440,0)/1440,0)</f>
        <v>0</v>
      </c>
      <c r="C75" s="216">
        <f t="shared" ca="1" si="22"/>
        <v>0</v>
      </c>
      <c r="D75" s="216">
        <f t="shared" ca="1" si="22"/>
        <v>0</v>
      </c>
      <c r="E75" s="216">
        <f t="shared" ca="1" si="22"/>
        <v>0</v>
      </c>
      <c r="F75" s="216">
        <f t="shared" ca="1" si="22"/>
        <v>0</v>
      </c>
      <c r="G75" s="216">
        <f t="shared" ca="1" si="22"/>
        <v>0</v>
      </c>
      <c r="H75" s="216">
        <f t="shared" ca="1" si="22"/>
        <v>0</v>
      </c>
      <c r="I75" s="216">
        <f t="shared" ca="1" si="22"/>
        <v>0</v>
      </c>
      <c r="J75" s="216">
        <f t="shared" ca="1" si="22"/>
        <v>0</v>
      </c>
      <c r="K75" s="216">
        <f t="shared" ca="1" si="22"/>
        <v>0</v>
      </c>
      <c r="L75" s="216">
        <f t="shared" ca="1" si="22"/>
        <v>0</v>
      </c>
      <c r="M75" s="216">
        <f t="shared" ca="1" si="22"/>
        <v>0</v>
      </c>
      <c r="N75" s="216">
        <f t="shared" ca="1" si="22"/>
        <v>0</v>
      </c>
      <c r="O75" s="216">
        <f t="shared" ca="1" si="22"/>
        <v>0</v>
      </c>
      <c r="P75" s="216">
        <f t="shared" ca="1" si="22"/>
        <v>0</v>
      </c>
      <c r="Q75" s="216">
        <f t="shared" ca="1" si="22"/>
        <v>0</v>
      </c>
      <c r="R75" s="216">
        <f t="shared" ca="1" si="22"/>
        <v>0</v>
      </c>
      <c r="S75" s="216">
        <f t="shared" ca="1" si="22"/>
        <v>0</v>
      </c>
      <c r="T75" s="216">
        <f t="shared" ca="1" si="22"/>
        <v>0</v>
      </c>
      <c r="U75" s="216">
        <f t="shared" ca="1" si="22"/>
        <v>0</v>
      </c>
      <c r="V75" s="216">
        <f t="shared" ca="1" si="22"/>
        <v>0</v>
      </c>
      <c r="W75" s="216">
        <f t="shared" ca="1" si="22"/>
        <v>0</v>
      </c>
      <c r="X75" s="216">
        <f t="shared" ca="1" si="22"/>
        <v>0</v>
      </c>
      <c r="Y75" s="216">
        <f t="shared" ca="1" si="22"/>
        <v>0</v>
      </c>
      <c r="Z75" s="216">
        <f t="shared" ca="1" si="22"/>
        <v>0</v>
      </c>
      <c r="AA75" s="216">
        <f t="shared" ca="1" si="22"/>
        <v>0</v>
      </c>
      <c r="AB75" s="216">
        <f t="shared" ca="1" si="22"/>
        <v>0</v>
      </c>
      <c r="AC75" s="216">
        <f t="shared" ca="1" si="22"/>
        <v>0</v>
      </c>
      <c r="AD75" s="216">
        <f t="shared" ca="1" si="22"/>
        <v>0</v>
      </c>
      <c r="AE75" s="216">
        <f t="shared" ca="1" si="22"/>
        <v>0</v>
      </c>
      <c r="AF75" s="217" t="str">
        <f>A75</f>
        <v>Total NS hours today</v>
      </c>
      <c r="AG75" s="188"/>
      <c r="AH75" s="213"/>
      <c r="AI75" s="214"/>
      <c r="AJ75" s="209"/>
      <c r="AK75" s="209"/>
      <c r="AL75" s="209"/>
      <c r="AM75" s="208"/>
      <c r="AN75" s="209"/>
      <c r="AO75" s="209"/>
      <c r="AP75" s="119"/>
    </row>
    <row r="76" spans="1:42" s="38" customFormat="1" ht="16.5" hidden="1" customHeight="1" outlineLevel="1" x14ac:dyDescent="0.2">
      <c r="A76" s="215" t="s">
        <v>253</v>
      </c>
      <c r="B76" s="225">
        <f t="shared" ref="B76:AE76" ca="1" si="23">B73-B75</f>
        <v>0</v>
      </c>
      <c r="C76" s="225">
        <f t="shared" ca="1" si="23"/>
        <v>0</v>
      </c>
      <c r="D76" s="225">
        <f t="shared" ca="1" si="23"/>
        <v>0</v>
      </c>
      <c r="E76" s="225">
        <f t="shared" ca="1" si="23"/>
        <v>0</v>
      </c>
      <c r="F76" s="225">
        <f t="shared" ca="1" si="23"/>
        <v>0</v>
      </c>
      <c r="G76" s="225">
        <f t="shared" ca="1" si="23"/>
        <v>0</v>
      </c>
      <c r="H76" s="225">
        <f t="shared" ca="1" si="23"/>
        <v>0</v>
      </c>
      <c r="I76" s="225">
        <f t="shared" ca="1" si="23"/>
        <v>0</v>
      </c>
      <c r="J76" s="225">
        <f t="shared" ca="1" si="23"/>
        <v>0</v>
      </c>
      <c r="K76" s="225">
        <f t="shared" ca="1" si="23"/>
        <v>0</v>
      </c>
      <c r="L76" s="225">
        <f t="shared" ca="1" si="23"/>
        <v>0</v>
      </c>
      <c r="M76" s="225">
        <f t="shared" ca="1" si="23"/>
        <v>0</v>
      </c>
      <c r="N76" s="225">
        <f t="shared" ca="1" si="23"/>
        <v>0</v>
      </c>
      <c r="O76" s="225">
        <f t="shared" ca="1" si="23"/>
        <v>0</v>
      </c>
      <c r="P76" s="225">
        <f t="shared" ca="1" si="23"/>
        <v>0</v>
      </c>
      <c r="Q76" s="225">
        <f t="shared" ca="1" si="23"/>
        <v>0</v>
      </c>
      <c r="R76" s="225">
        <f t="shared" ca="1" si="23"/>
        <v>0</v>
      </c>
      <c r="S76" s="225">
        <f t="shared" ca="1" si="23"/>
        <v>0</v>
      </c>
      <c r="T76" s="225">
        <f t="shared" ca="1" si="23"/>
        <v>0</v>
      </c>
      <c r="U76" s="225">
        <f t="shared" ca="1" si="23"/>
        <v>0</v>
      </c>
      <c r="V76" s="225">
        <f t="shared" ca="1" si="23"/>
        <v>0</v>
      </c>
      <c r="W76" s="225">
        <f t="shared" ca="1" si="23"/>
        <v>0</v>
      </c>
      <c r="X76" s="225">
        <f t="shared" ca="1" si="23"/>
        <v>0</v>
      </c>
      <c r="Y76" s="225">
        <f t="shared" ca="1" si="23"/>
        <v>0</v>
      </c>
      <c r="Z76" s="225">
        <f t="shared" ca="1" si="23"/>
        <v>0</v>
      </c>
      <c r="AA76" s="225">
        <f t="shared" ca="1" si="23"/>
        <v>0</v>
      </c>
      <c r="AB76" s="225">
        <f t="shared" ca="1" si="23"/>
        <v>0</v>
      </c>
      <c r="AC76" s="225">
        <f t="shared" ca="1" si="23"/>
        <v>0</v>
      </c>
      <c r="AD76" s="225">
        <f t="shared" ca="1" si="23"/>
        <v>0</v>
      </c>
      <c r="AE76" s="225">
        <f t="shared" ca="1" si="23"/>
        <v>0</v>
      </c>
      <c r="AF76" s="217" t="str">
        <f>A76</f>
        <v>Total NS hours yesterday</v>
      </c>
      <c r="AG76" s="188"/>
      <c r="AH76" s="213"/>
      <c r="AI76" s="214"/>
      <c r="AJ76" s="209"/>
      <c r="AK76" s="209"/>
      <c r="AL76" s="230">
        <f ca="1">IF(EB.Anwendung&lt;&gt;"",IF(MONTH(Monat.Tag1)=12,0,IF(MONTH(Monat.Tag1)=1,February!Monat.NDgesternTag1,IF(MONTH(Monat.Tag1)=2,March!Monat.NDgesternTag1,IF(MONTH(Monat.Tag1)=3,April!Monat.NDgesternTag1,IF(MONTH(Monat.Tag1)=4,May!Monat.NDgesternTag1,IF(MONTH(Monat.Tag1)=5,June!Monat.NDgesternTag1,IF(MONTH(Monat.Tag1)=6,July!Monat.NDgesternTag1,IF(MONTH(Monat.Tag1)=7,August!Monat.NDgesternTag1,IF(MONTH(Monat.Tag1)=8,September!Monat.NDgesternTag1,IF(MONTH(Monat.Tag1)=9,October!Monat.NDgesternTag1,IF(MONTH(Monat.Tag1)=10,November!Monat.NDgesternTag1,IF(MONTH(Monat.Tag1)=11,December!Monat.NDgesternTag1,"")))))))))))),"")</f>
        <v>0</v>
      </c>
      <c r="AM76" s="208"/>
      <c r="AN76" s="209"/>
      <c r="AO76" s="209"/>
      <c r="AP76" s="119"/>
    </row>
    <row r="77" spans="1:42" s="38" customFormat="1" ht="16.5" hidden="1" customHeight="1" outlineLevel="1" x14ac:dyDescent="0.2">
      <c r="A77" s="215" t="s">
        <v>254</v>
      </c>
      <c r="B77" s="216">
        <f t="shared" ref="B77:AD77" ca="1" si="24">B75+IF(B$10=EOMONTH(B$10,0),$AL76,C76)</f>
        <v>0</v>
      </c>
      <c r="C77" s="216">
        <f t="shared" ca="1" si="24"/>
        <v>0</v>
      </c>
      <c r="D77" s="216">
        <f t="shared" ca="1" si="24"/>
        <v>0</v>
      </c>
      <c r="E77" s="216">
        <f t="shared" ca="1" si="24"/>
        <v>0</v>
      </c>
      <c r="F77" s="216">
        <f t="shared" ca="1" si="24"/>
        <v>0</v>
      </c>
      <c r="G77" s="216">
        <f t="shared" ca="1" si="24"/>
        <v>0</v>
      </c>
      <c r="H77" s="216">
        <f t="shared" ca="1" si="24"/>
        <v>0</v>
      </c>
      <c r="I77" s="216">
        <f t="shared" ca="1" si="24"/>
        <v>0</v>
      </c>
      <c r="J77" s="216">
        <f t="shared" ca="1" si="24"/>
        <v>0</v>
      </c>
      <c r="K77" s="216">
        <f t="shared" ca="1" si="24"/>
        <v>0</v>
      </c>
      <c r="L77" s="216">
        <f t="shared" ca="1" si="24"/>
        <v>0</v>
      </c>
      <c r="M77" s="216">
        <f t="shared" ca="1" si="24"/>
        <v>0</v>
      </c>
      <c r="N77" s="216">
        <f t="shared" ca="1" si="24"/>
        <v>0</v>
      </c>
      <c r="O77" s="216">
        <f t="shared" ca="1" si="24"/>
        <v>0</v>
      </c>
      <c r="P77" s="216">
        <f t="shared" ca="1" si="24"/>
        <v>0</v>
      </c>
      <c r="Q77" s="216">
        <f t="shared" ca="1" si="24"/>
        <v>0</v>
      </c>
      <c r="R77" s="216">
        <f t="shared" ca="1" si="24"/>
        <v>0</v>
      </c>
      <c r="S77" s="216">
        <f t="shared" ca="1" si="24"/>
        <v>0</v>
      </c>
      <c r="T77" s="216">
        <f t="shared" ca="1" si="24"/>
        <v>0</v>
      </c>
      <c r="U77" s="216">
        <f t="shared" ca="1" si="24"/>
        <v>0</v>
      </c>
      <c r="V77" s="216">
        <f t="shared" ca="1" si="24"/>
        <v>0</v>
      </c>
      <c r="W77" s="216">
        <f t="shared" ca="1" si="24"/>
        <v>0</v>
      </c>
      <c r="X77" s="216">
        <f t="shared" ca="1" si="24"/>
        <v>0</v>
      </c>
      <c r="Y77" s="216">
        <f t="shared" ca="1" si="24"/>
        <v>0</v>
      </c>
      <c r="Z77" s="216">
        <f t="shared" ca="1" si="24"/>
        <v>0</v>
      </c>
      <c r="AA77" s="216">
        <f t="shared" ca="1" si="24"/>
        <v>0</v>
      </c>
      <c r="AB77" s="216">
        <f t="shared" ca="1" si="24"/>
        <v>0</v>
      </c>
      <c r="AC77" s="216">
        <f t="shared" ca="1" si="24"/>
        <v>0</v>
      </c>
      <c r="AD77" s="216">
        <f t="shared" ca="1" si="24"/>
        <v>0</v>
      </c>
      <c r="AE77" s="216">
        <f ca="1">AE75+IF(AE$10=EOMONTH(AE$10,0),$AL76,#REF!)</f>
        <v>0</v>
      </c>
      <c r="AF77" s="217" t="str">
        <f>A77</f>
        <v>Total NS hours</v>
      </c>
      <c r="AG77" s="218"/>
      <c r="AH77" s="219">
        <f ca="1">SUM(B77:AE77)</f>
        <v>0</v>
      </c>
      <c r="AI77" s="214"/>
      <c r="AJ77" s="209"/>
      <c r="AK77" s="209"/>
      <c r="AL77" s="209"/>
      <c r="AM77" s="208"/>
      <c r="AN77" s="209"/>
      <c r="AO77" s="209"/>
      <c r="AP77" s="119"/>
    </row>
    <row r="78" spans="1:42" s="38" customFormat="1" ht="3.75" hidden="1" customHeight="1" collapsed="1" x14ac:dyDescent="0.2">
      <c r="A78" s="220"/>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05"/>
      <c r="AG78" s="233"/>
      <c r="AH78" s="222"/>
      <c r="AI78" s="214"/>
      <c r="AJ78" s="209"/>
      <c r="AK78" s="209"/>
      <c r="AL78" s="209"/>
      <c r="AM78" s="208"/>
      <c r="AN78" s="209"/>
      <c r="AO78" s="209"/>
      <c r="AP78" s="119"/>
    </row>
    <row r="79" spans="1:42" s="38" customFormat="1" ht="15" customHeight="1" outlineLevel="1" x14ac:dyDescent="0.2">
      <c r="A79" s="212" t="s">
        <v>200</v>
      </c>
      <c r="B79" s="280">
        <f t="shared" ref="B79:AE79" ca="1" si="25">IF(AND(T.50_Vetsuisse,B70&gt;24),ROUND(B73*T.50_VetsuisseZZSND*1440,0)/1440,
IF(AND(T.ServiceCenterIrchel,B69&gt;0,B77&gt;=ROUND(1/24*8*1440,0)/1440),ROUND(B77*T.ServiceCenterIrchelZZSND*1440,0)/1440,))</f>
        <v>0</v>
      </c>
      <c r="C79" s="280">
        <f t="shared" ca="1" si="25"/>
        <v>0</v>
      </c>
      <c r="D79" s="280">
        <f t="shared" ca="1" si="25"/>
        <v>0</v>
      </c>
      <c r="E79" s="280">
        <f t="shared" ca="1" si="25"/>
        <v>0</v>
      </c>
      <c r="F79" s="280">
        <f t="shared" ca="1" si="25"/>
        <v>0</v>
      </c>
      <c r="G79" s="280">
        <f t="shared" ca="1" si="25"/>
        <v>0</v>
      </c>
      <c r="H79" s="280">
        <f t="shared" ca="1" si="25"/>
        <v>0</v>
      </c>
      <c r="I79" s="280">
        <f t="shared" ca="1" si="25"/>
        <v>0</v>
      </c>
      <c r="J79" s="280">
        <f t="shared" ca="1" si="25"/>
        <v>0</v>
      </c>
      <c r="K79" s="280">
        <f t="shared" ca="1" si="25"/>
        <v>0</v>
      </c>
      <c r="L79" s="280">
        <f t="shared" ca="1" si="25"/>
        <v>0</v>
      </c>
      <c r="M79" s="280">
        <f t="shared" ca="1" si="25"/>
        <v>0</v>
      </c>
      <c r="N79" s="280">
        <f t="shared" ca="1" si="25"/>
        <v>0</v>
      </c>
      <c r="O79" s="280">
        <f t="shared" ca="1" si="25"/>
        <v>0</v>
      </c>
      <c r="P79" s="280">
        <f t="shared" ca="1" si="25"/>
        <v>0</v>
      </c>
      <c r="Q79" s="280">
        <f t="shared" ca="1" si="25"/>
        <v>0</v>
      </c>
      <c r="R79" s="280">
        <f t="shared" ca="1" si="25"/>
        <v>0</v>
      </c>
      <c r="S79" s="280">
        <f t="shared" ca="1" si="25"/>
        <v>0</v>
      </c>
      <c r="T79" s="280">
        <f t="shared" ca="1" si="25"/>
        <v>0</v>
      </c>
      <c r="U79" s="280">
        <f t="shared" ca="1" si="25"/>
        <v>0</v>
      </c>
      <c r="V79" s="280">
        <f t="shared" ca="1" si="25"/>
        <v>0</v>
      </c>
      <c r="W79" s="280">
        <f t="shared" ca="1" si="25"/>
        <v>0</v>
      </c>
      <c r="X79" s="280">
        <f t="shared" ca="1" si="25"/>
        <v>0</v>
      </c>
      <c r="Y79" s="280">
        <f t="shared" ca="1" si="25"/>
        <v>0</v>
      </c>
      <c r="Z79" s="280">
        <f t="shared" ca="1" si="25"/>
        <v>0</v>
      </c>
      <c r="AA79" s="280">
        <f t="shared" ca="1" si="25"/>
        <v>0</v>
      </c>
      <c r="AB79" s="280">
        <f t="shared" ca="1" si="25"/>
        <v>0</v>
      </c>
      <c r="AC79" s="280">
        <f t="shared" ca="1" si="25"/>
        <v>0</v>
      </c>
      <c r="AD79" s="280">
        <f t="shared" ca="1" si="25"/>
        <v>0</v>
      </c>
      <c r="AE79" s="280">
        <f t="shared" ca="1" si="25"/>
        <v>0</v>
      </c>
      <c r="AF79" s="205" t="str">
        <f>A79</f>
        <v>Time supplement night shift</v>
      </c>
      <c r="AG79" s="274"/>
      <c r="AH79" s="238">
        <f ca="1">SUM(B79:AE79)</f>
        <v>0</v>
      </c>
      <c r="AI79" s="261"/>
      <c r="AJ79" s="224"/>
      <c r="AK79" s="245">
        <f ca="1">IF(EB.Anwendung&lt;&gt;"",IF(MONTH(Monat.Tag1)=1,EB.ZZNd,IF(MONTH(Monat.Tag1)=2,January!Monat.ZZNdUe,IF(MONTH(Monat.Tag1)=3,February!Monat.ZZNdUe,IF(MONTH(Monat.Tag1)=4,March!Monat.ZZNdUe,IF(MONTH(Monat.Tag1)=5,April!Monat.ZZNdUe,IF(MONTH(Monat.Tag1)=6,May!Monat.ZZNdUe,IF(MONTH(Monat.Tag1)=7,June!Monat.ZZNdUe,IF(MONTH(Monat.Tag1)=8,July!Monat.ZZNdUe,IF(MONTH(Monat.Tag1)=9,August!Monat.ZZNdUe,IF(MONTH(Monat.Tag1)=10,September!Monat.ZZNdUe,IF(MONTH(Monat.Tag1)=11,October!Monat.ZZNdUe,IF(MONTH(Monat.Tag1)=12,November!Monat.ZZNdUe,"")))))))))))),"")</f>
        <v>0</v>
      </c>
      <c r="AL79" s="209"/>
      <c r="AM79" s="246">
        <f ca="1">AH79+AK79-AH71</f>
        <v>0</v>
      </c>
      <c r="AN79" s="246">
        <f ca="1">OFFSET(Jahr.ZZSNDSaldo,-13+MONTH(Monat.Tag1),0,1,1)</f>
        <v>0</v>
      </c>
      <c r="AO79" s="246">
        <f ca="1">Jahr.ZZSNDSaldo</f>
        <v>0</v>
      </c>
      <c r="AP79" s="119"/>
    </row>
    <row r="80" spans="1:42" s="38" customFormat="1" ht="15" customHeight="1" outlineLevel="1" x14ac:dyDescent="0.2">
      <c r="A80" s="212" t="s">
        <v>224</v>
      </c>
      <c r="B80" s="280" t="str">
        <f t="shared" ref="B80:AE80" si="26">IF(T.50_Vetsuisse,IF(OR(B$12=0,B$11=0,WEEKDAY(B$10,2)&gt;5),0,ROUND((MAX(0,T.Abendbis-MAX(B13,T.Abendab))-MAX(0,T.Abendbis-MAX(T.Abendab,B14))+(B13&gt;B14)*(1+T.Abendab-T.Abendbis)+MAX(0,T.Abendbis-MAX(B15,T.Abendab))-MAX(0,T.Abendbis-MAX(T.Abendab,B16))+(B15&gt;B16)*(1+T.Abendab-T.Abendbis)+MAX(0,T.Abendbis-MAX(B17,T.Abendab))-MAX(0,T.Abendbis-MAX(T.Abendab,B18))+(B17&gt;B18)*(1+T.Abendab-T.Abendbis)+MAX(0,T.Abendbis-MAX(B19,T.Abendab))-MAX(0,T.Abendbis-MAX(T.Abendab,B20))+(B19&gt;B20)*(1+T.Abendab-T.Abendbis)+MAX(0,T.Abendbis-MAX(B21,T.Abendab))-MAX(0,T.Abendbis-MAX(T.Abendab,B22))+(B21&gt;B22)*(1+T.Abendab-T.Abendbis))*1440,0)/1440),"")</f>
        <v/>
      </c>
      <c r="C80" s="280" t="str">
        <f t="shared" si="26"/>
        <v/>
      </c>
      <c r="D80" s="280" t="str">
        <f t="shared" si="26"/>
        <v/>
      </c>
      <c r="E80" s="280" t="str">
        <f t="shared" si="26"/>
        <v/>
      </c>
      <c r="F80" s="280" t="str">
        <f t="shared" si="26"/>
        <v/>
      </c>
      <c r="G80" s="280" t="str">
        <f t="shared" si="26"/>
        <v/>
      </c>
      <c r="H80" s="280" t="str">
        <f t="shared" si="26"/>
        <v/>
      </c>
      <c r="I80" s="280" t="str">
        <f t="shared" si="26"/>
        <v/>
      </c>
      <c r="J80" s="280" t="str">
        <f t="shared" si="26"/>
        <v/>
      </c>
      <c r="K80" s="280" t="str">
        <f t="shared" si="26"/>
        <v/>
      </c>
      <c r="L80" s="280" t="str">
        <f t="shared" si="26"/>
        <v/>
      </c>
      <c r="M80" s="280" t="str">
        <f t="shared" si="26"/>
        <v/>
      </c>
      <c r="N80" s="280" t="str">
        <f t="shared" si="26"/>
        <v/>
      </c>
      <c r="O80" s="280" t="str">
        <f t="shared" si="26"/>
        <v/>
      </c>
      <c r="P80" s="280" t="str">
        <f t="shared" si="26"/>
        <v/>
      </c>
      <c r="Q80" s="280" t="str">
        <f t="shared" si="26"/>
        <v/>
      </c>
      <c r="R80" s="280" t="str">
        <f t="shared" si="26"/>
        <v/>
      </c>
      <c r="S80" s="280" t="str">
        <f t="shared" si="26"/>
        <v/>
      </c>
      <c r="T80" s="280" t="str">
        <f t="shared" si="26"/>
        <v/>
      </c>
      <c r="U80" s="280" t="str">
        <f t="shared" si="26"/>
        <v/>
      </c>
      <c r="V80" s="280" t="str">
        <f t="shared" si="26"/>
        <v/>
      </c>
      <c r="W80" s="280" t="str">
        <f t="shared" si="26"/>
        <v/>
      </c>
      <c r="X80" s="280" t="str">
        <f t="shared" si="26"/>
        <v/>
      </c>
      <c r="Y80" s="280" t="str">
        <f t="shared" si="26"/>
        <v/>
      </c>
      <c r="Z80" s="280" t="str">
        <f t="shared" si="26"/>
        <v/>
      </c>
      <c r="AA80" s="280" t="str">
        <f t="shared" si="26"/>
        <v/>
      </c>
      <c r="AB80" s="280" t="str">
        <f t="shared" si="26"/>
        <v/>
      </c>
      <c r="AC80" s="280" t="str">
        <f t="shared" si="26"/>
        <v/>
      </c>
      <c r="AD80" s="280" t="str">
        <f t="shared" si="26"/>
        <v/>
      </c>
      <c r="AE80" s="280" t="str">
        <f t="shared" si="26"/>
        <v/>
      </c>
      <c r="AF80" s="205" t="str">
        <f>A80</f>
        <v>Evening work</v>
      </c>
      <c r="AG80" s="274"/>
      <c r="AH80" s="238">
        <f>SUM(B80:AE80)</f>
        <v>0</v>
      </c>
      <c r="AI80" s="261"/>
      <c r="AJ80" s="224"/>
      <c r="AK80" s="245">
        <f ca="1">IF(EB.Anwendung&lt;&gt;"",IF(MONTH(Monat.Tag1)=1,0,IF(MONTH(Monat.Tag1)=2,January!Monat.AAUeVM,IF(MONTH(Monat.Tag1)=3,February!Monat.AAUeVM,IF(MONTH(Monat.Tag1)=4,March!Monat.AAUeVM,IF(MONTH(Monat.Tag1)=5,April!Monat.AAUeVM,IF(MONTH(Monat.Tag1)=6,May!Monat.AAUeVM,IF(MONTH(Monat.Tag1)=7,June!Monat.AAUeVM,IF(MONTH(Monat.Tag1)=8,July!Monat.AAUeVM,IF(MONTH(Monat.Tag1)=9,August!Monat.AAUeVM,IF(MONTH(Monat.Tag1)=10,September!Monat.AAUeVM,IF(MONTH(Monat.Tag1)=11,October!Monat.AAUeVM,IF(MONTH(Monat.Tag1)=12,November!Monat.AAUeVM,"")))))))))))),"")</f>
        <v>0</v>
      </c>
      <c r="AL80" s="209"/>
      <c r="AM80" s="246">
        <f ca="1">AH80+AK80</f>
        <v>0</v>
      </c>
      <c r="AN80" s="208"/>
      <c r="AO80" s="208"/>
      <c r="AP80" s="119"/>
    </row>
    <row r="81" spans="1:42" s="38" customFormat="1" ht="15" customHeight="1" outlineLevel="1" x14ac:dyDescent="0.2">
      <c r="A81" s="212" t="s">
        <v>89</v>
      </c>
      <c r="B81" s="280">
        <f t="shared" ref="B81:AE81" ca="1" si="27">IF(EB.Wochenarbeitszeit=50/24,"",IF(B$12=0,0,IF(OR(WEEKDAY(B$10,2)&gt;5,B$11=0),IF(NOT(B$34=INDEX(T.Pikett.Bereich,1)),1,0),IF(WEEKDAY(B$10,2)&lt;6,IF(AND(OR(B$34=INDEX(T.Pikett.Bereich,2),B$34=INDEX(T.Pikett.Bereich,3)),B$11=1),8/24,0))+IF(WEEKDAY(B$10,2)&lt;6,IF(AND(OR(B$34=INDEX(T.Pikett.Bereich,2),B$34=INDEX(T.Pikett.Bereich,3)),B$11=6/8.4),10/24,0))
+IF(WEEKDAY(B$10,2)&lt;6,IF(AND(OR(B$34=INDEX(T.Pikett.Bereich,2),B$34=INDEX(T.Pikett.Bereich,3)),B$11=0.5),0.5,0))
+IF(AND(B$34=INDEX(T.Pikett.Bereich,4),B$11=6/8.4),0.75,0)+IF(AND(B$34=INDEX(T.Pikett.Bereich,4),B$11=1),16/24,0)
+IF(AND(B$34=INDEX(T.Pikett.Bereich,4),B$11=0.5),20/24,0))))</f>
        <v>0</v>
      </c>
      <c r="C81" s="280">
        <f t="shared" ca="1" si="27"/>
        <v>0</v>
      </c>
      <c r="D81" s="280">
        <f t="shared" ca="1" si="27"/>
        <v>0</v>
      </c>
      <c r="E81" s="280">
        <f t="shared" ca="1" si="27"/>
        <v>0</v>
      </c>
      <c r="F81" s="280">
        <f t="shared" ca="1" si="27"/>
        <v>0</v>
      </c>
      <c r="G81" s="280">
        <f t="shared" ca="1" si="27"/>
        <v>0</v>
      </c>
      <c r="H81" s="280">
        <f t="shared" ca="1" si="27"/>
        <v>0</v>
      </c>
      <c r="I81" s="280">
        <f t="shared" ca="1" si="27"/>
        <v>0</v>
      </c>
      <c r="J81" s="280">
        <f t="shared" ca="1" si="27"/>
        <v>0</v>
      </c>
      <c r="K81" s="280">
        <f t="shared" ca="1" si="27"/>
        <v>0</v>
      </c>
      <c r="L81" s="280">
        <f t="shared" ca="1" si="27"/>
        <v>0</v>
      </c>
      <c r="M81" s="280">
        <f t="shared" ca="1" si="27"/>
        <v>0</v>
      </c>
      <c r="N81" s="280">
        <f t="shared" ca="1" si="27"/>
        <v>0</v>
      </c>
      <c r="O81" s="280">
        <f t="shared" ca="1" si="27"/>
        <v>0</v>
      </c>
      <c r="P81" s="280">
        <f t="shared" ca="1" si="27"/>
        <v>0</v>
      </c>
      <c r="Q81" s="280">
        <f t="shared" ca="1" si="27"/>
        <v>0</v>
      </c>
      <c r="R81" s="280">
        <f t="shared" ca="1" si="27"/>
        <v>0</v>
      </c>
      <c r="S81" s="280">
        <f t="shared" ca="1" si="27"/>
        <v>0</v>
      </c>
      <c r="T81" s="280">
        <f t="shared" ca="1" si="27"/>
        <v>0</v>
      </c>
      <c r="U81" s="280">
        <f t="shared" ca="1" si="27"/>
        <v>0</v>
      </c>
      <c r="V81" s="280">
        <f t="shared" ca="1" si="27"/>
        <v>0</v>
      </c>
      <c r="W81" s="280">
        <f t="shared" ca="1" si="27"/>
        <v>0</v>
      </c>
      <c r="X81" s="280">
        <f t="shared" ca="1" si="27"/>
        <v>0</v>
      </c>
      <c r="Y81" s="280">
        <f t="shared" ca="1" si="27"/>
        <v>0</v>
      </c>
      <c r="Z81" s="280">
        <f t="shared" ca="1" si="27"/>
        <v>0</v>
      </c>
      <c r="AA81" s="280">
        <f t="shared" ca="1" si="27"/>
        <v>0</v>
      </c>
      <c r="AB81" s="280">
        <f t="shared" ca="1" si="27"/>
        <v>0</v>
      </c>
      <c r="AC81" s="280">
        <f t="shared" ca="1" si="27"/>
        <v>0</v>
      </c>
      <c r="AD81" s="280">
        <f t="shared" ca="1" si="27"/>
        <v>0</v>
      </c>
      <c r="AE81" s="280">
        <f t="shared" ca="1" si="27"/>
        <v>0</v>
      </c>
      <c r="AF81" s="205" t="str">
        <f>A81</f>
        <v>On-call duty</v>
      </c>
      <c r="AG81" s="274"/>
      <c r="AH81" s="238">
        <f ca="1">SUM(B81:AE81)</f>
        <v>0</v>
      </c>
      <c r="AI81" s="261"/>
      <c r="AJ81" s="224"/>
      <c r="AK81" s="245">
        <f ca="1">IF(EB.Anwendung&lt;&gt;"",IF(MONTH(Monat.Tag1)=1,0,IF(MONTH(Monat.Tag1)=2,January!Monat.BDUeVM,IF(MONTH(Monat.Tag1)=3,February!Monat.BDUeVM,IF(MONTH(Monat.Tag1)=4,March!Monat.BDUeVM,IF(MONTH(Monat.Tag1)=5,April!Monat.BDUeVM,IF(MONTH(Monat.Tag1)=6,May!Monat.BDUeVM,IF(MONTH(Monat.Tag1)=7,June!Monat.BDUeVM,IF(MONTH(Monat.Tag1)=8,July!Monat.BDUeVM,IF(MONTH(Monat.Tag1)=9,August!Monat.BDUeVM,IF(MONTH(Monat.Tag1)=10,September!Monat.BDUeVM,IF(MONTH(Monat.Tag1)=11,October!Monat.BDUeVM,IF(MONTH(Monat.Tag1)=12,November!Monat.BDUeVM,"")))))))))))),"")</f>
        <v>0</v>
      </c>
      <c r="AL81" s="209"/>
      <c r="AM81" s="246">
        <f ca="1">AH81+AK81</f>
        <v>0</v>
      </c>
      <c r="AN81" s="208"/>
      <c r="AO81" s="208"/>
      <c r="AP81" s="119"/>
    </row>
    <row r="82" spans="1:42" s="38" customFormat="1" ht="15" customHeight="1" outlineLevel="1" x14ac:dyDescent="0.2">
      <c r="A82" s="212" t="s">
        <v>90</v>
      </c>
      <c r="B82" s="280">
        <f t="shared" ref="B82:AE82" ca="1" si="28">IF(B$12=0,"",IF(OR(WEEKDAY(B$10,2)&gt;5,B$11=0),
IF(T.50_NoVetsuisse,B45,
IF(T.50_Vetsuisse,IF(B23-B73=0,"",B23-B73),
IF(T.ServiceCenterIrchel,B23,
B60))),))</f>
        <v>0</v>
      </c>
      <c r="C82" s="280">
        <f t="shared" ca="1" si="28"/>
        <v>0</v>
      </c>
      <c r="D82" s="281">
        <f t="shared" ca="1" si="28"/>
        <v>0</v>
      </c>
      <c r="E82" s="280">
        <f t="shared" ca="1" si="28"/>
        <v>0</v>
      </c>
      <c r="F82" s="281" t="str">
        <f t="shared" ca="1" si="28"/>
        <v/>
      </c>
      <c r="G82" s="281" t="str">
        <f t="shared" ca="1" si="28"/>
        <v/>
      </c>
      <c r="H82" s="281">
        <f t="shared" ca="1" si="28"/>
        <v>0</v>
      </c>
      <c r="I82" s="281">
        <f t="shared" ca="1" si="28"/>
        <v>0</v>
      </c>
      <c r="J82" s="280">
        <f t="shared" ca="1" si="28"/>
        <v>0</v>
      </c>
      <c r="K82" s="281">
        <f t="shared" ca="1" si="28"/>
        <v>0</v>
      </c>
      <c r="L82" s="280">
        <f t="shared" ca="1" si="28"/>
        <v>0</v>
      </c>
      <c r="M82" s="281" t="str">
        <f t="shared" ca="1" si="28"/>
        <v/>
      </c>
      <c r="N82" s="281" t="str">
        <f t="shared" ca="1" si="28"/>
        <v/>
      </c>
      <c r="O82" s="281">
        <f t="shared" ca="1" si="28"/>
        <v>0</v>
      </c>
      <c r="P82" s="281">
        <f t="shared" ca="1" si="28"/>
        <v>0</v>
      </c>
      <c r="Q82" s="280">
        <f t="shared" ca="1" si="28"/>
        <v>0</v>
      </c>
      <c r="R82" s="281">
        <f t="shared" ca="1" si="28"/>
        <v>0</v>
      </c>
      <c r="S82" s="280">
        <f t="shared" ca="1" si="28"/>
        <v>0</v>
      </c>
      <c r="T82" s="280" t="str">
        <f t="shared" ca="1" si="28"/>
        <v/>
      </c>
      <c r="U82" s="281" t="str">
        <f t="shared" ca="1" si="28"/>
        <v/>
      </c>
      <c r="V82" s="281">
        <f t="shared" ca="1" si="28"/>
        <v>0</v>
      </c>
      <c r="W82" s="281">
        <f t="shared" ca="1" si="28"/>
        <v>0</v>
      </c>
      <c r="X82" s="280">
        <f t="shared" ca="1" si="28"/>
        <v>0</v>
      </c>
      <c r="Y82" s="281">
        <f t="shared" ca="1" si="28"/>
        <v>0</v>
      </c>
      <c r="Z82" s="282">
        <f t="shared" ca="1" si="28"/>
        <v>0</v>
      </c>
      <c r="AA82" s="281" t="str">
        <f t="shared" ca="1" si="28"/>
        <v/>
      </c>
      <c r="AB82" s="281" t="str">
        <f t="shared" ca="1" si="28"/>
        <v/>
      </c>
      <c r="AC82" s="281">
        <f t="shared" ca="1" si="28"/>
        <v>0</v>
      </c>
      <c r="AD82" s="281">
        <f t="shared" ca="1" si="28"/>
        <v>0</v>
      </c>
      <c r="AE82" s="280">
        <f t="shared" ca="1" si="28"/>
        <v>0</v>
      </c>
      <c r="AF82" s="205" t="str">
        <f>A82</f>
        <v>Saturday/Sunday shift</v>
      </c>
      <c r="AG82" s="228"/>
      <c r="AH82" s="238">
        <f ca="1">SUM(B82:AE82)</f>
        <v>0</v>
      </c>
      <c r="AI82" s="229">
        <f ca="1">IFERROR(SUMPRODUCT((B82:AE82&gt;0)*(B82:AE82&lt;&gt;"")),0)</f>
        <v>0</v>
      </c>
      <c r="AJ82" s="224"/>
      <c r="AK82" s="245">
        <f ca="1">IF(EB.Anwendung&lt;&gt;"",IF(MONTH(Monat.Tag1)=1,0,IF(MONTH(Monat.Tag1)=2,January!Monat.SDUeVM,IF(MONTH(Monat.Tag1)=3,February!Monat.SDUeVM,IF(MONTH(Monat.Tag1)=4,March!Monat.SDUeVM,IF(MONTH(Monat.Tag1)=5,April!Monat.SDUeVM,IF(MONTH(Monat.Tag1)=6,May!Monat.SDUeVM,IF(MONTH(Monat.Tag1)=7,June!Monat.SDUeVM,IF(MONTH(Monat.Tag1)=8,July!Monat.SDUeVM,IF(MONTH(Monat.Tag1)=9,August!Monat.SDUeVM,IF(MONTH(Monat.Tag1)=10,September!Monat.SDUeVM,IF(MONTH(Monat.Tag1)=11,October!Monat.SDUeVM,IF(MONTH(Monat.Tag1)=12,November!Monat.SDUeVM,"")))))))))))),"")</f>
        <v>0</v>
      </c>
      <c r="AL82" s="209"/>
      <c r="AM82" s="246">
        <f ca="1">AH82+AK82</f>
        <v>0</v>
      </c>
      <c r="AN82" s="208"/>
      <c r="AO82" s="208"/>
      <c r="AP82" s="119"/>
    </row>
    <row r="83" spans="1:42" s="38" customFormat="1" ht="11.25" customHeight="1" outlineLevel="1" x14ac:dyDescent="0.2">
      <c r="A83" s="220"/>
      <c r="B83" s="226"/>
      <c r="C83" s="226"/>
      <c r="D83" s="226"/>
      <c r="E83" s="226"/>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05"/>
      <c r="AG83" s="228"/>
      <c r="AH83" s="224"/>
      <c r="AI83" s="278"/>
      <c r="AJ83" s="262"/>
      <c r="AK83" s="262"/>
      <c r="AL83" s="209"/>
      <c r="AM83" s="279"/>
      <c r="AN83" s="283"/>
      <c r="AO83" s="283"/>
      <c r="AP83" s="119"/>
    </row>
    <row r="84" spans="1:42" s="38" customFormat="1" ht="15" customHeight="1" x14ac:dyDescent="0.2">
      <c r="A84" s="212" t="s">
        <v>80</v>
      </c>
      <c r="B84" s="40"/>
      <c r="C84" s="40"/>
      <c r="D84" s="40"/>
      <c r="E84" s="40"/>
      <c r="F84" s="40"/>
      <c r="G84" s="40"/>
      <c r="H84" s="40"/>
      <c r="I84" s="40"/>
      <c r="J84" s="40"/>
      <c r="K84" s="40"/>
      <c r="L84" s="40"/>
      <c r="M84" s="40"/>
      <c r="N84" s="40"/>
      <c r="O84" s="40"/>
      <c r="P84" s="40"/>
      <c r="Q84" s="40"/>
      <c r="R84" s="40"/>
      <c r="S84" s="40"/>
      <c r="T84" s="40"/>
      <c r="U84" s="40"/>
      <c r="V84" s="40"/>
      <c r="W84" s="40"/>
      <c r="X84" s="40"/>
      <c r="Y84" s="40"/>
      <c r="Z84" s="47"/>
      <c r="AA84" s="40"/>
      <c r="AB84" s="40"/>
      <c r="AC84" s="40"/>
      <c r="AD84" s="40"/>
      <c r="AE84" s="40"/>
      <c r="AF84" s="205" t="str">
        <f>A84 &amp; IFERROR(IF(AND(MONTH(Monat.Tag1)=6,EB.Jahr&gt;2020),IF(SUM(Jahresabrechnung!AC15:AC20)&lt;EB.FerienBer,IF(EB.Sprache="EN"," (Balance PY "," (Saldo VJ ") &amp; " &gt; 0!)",""),""),"")</f>
        <v>Vacation</v>
      </c>
      <c r="AG84" s="218"/>
      <c r="AH84" s="238">
        <f>SUM(B84:AE84)</f>
        <v>0</v>
      </c>
      <c r="AI84" s="261"/>
      <c r="AJ84" s="245">
        <f ca="1">OFFSET(EB.MFAStd.Knoten,MONTH(Monat.Tag1),0,1,1)</f>
        <v>0</v>
      </c>
      <c r="AK84" s="245">
        <f ca="1">IF(EB.Anwendung&lt;&gt;"",IF(MONTH(Monat.Tag1)=1,EB.FerienBer,IF(MONTH(Monat.Tag1)=2,January!Monat.FerienUeVM,IF(MONTH(Monat.Tag1)=3,February!Monat.FerienUeVM,IF(MONTH(Monat.Tag1)=4,March!Monat.FerienUeVM,IF(MONTH(Monat.Tag1)=5,April!Monat.FerienUeVM,IF(MONTH(Monat.Tag1)=6,May!Monat.FerienUeVM,IF(MONTH(Monat.Tag1)=7,June!Monat.FerienUeVM,IF(MONTH(Monat.Tag1)=8,July!Monat.FerienUeVM,IF(MONTH(Monat.Tag1)=9,August!Monat.FerienUeVM,IF(MONTH(Monat.Tag1)=10,September!Monat.FerienUeVM,IF(MONTH(Monat.Tag1)=11,October!Monat.FerienUeVM,IF(MONTH(Monat.Tag1)=12,November!Monat.FerienUeVM,"")))))))))))),"")</f>
        <v>0</v>
      </c>
      <c r="AL84" s="209"/>
      <c r="AM84" s="246">
        <f ca="1">ROUND(IF(AG85="+",(AJ84+AK84-Monat.Ferien.Total+AH85),(AJ84+AK84-Monat.Ferien.Total-AH85))*1440,0)/1440</f>
        <v>0</v>
      </c>
      <c r="AN84" s="246">
        <f ca="1">SUM(Jahresabrechnung!AC12:AC13)-SUM(OFFSET(Jahresabrechnung!AC15,0,0,MONTH(Monat.Tag1),1))</f>
        <v>0</v>
      </c>
      <c r="AO84" s="246">
        <f ca="1">J.FerienUE.Total</f>
        <v>0</v>
      </c>
      <c r="AP84" s="119"/>
    </row>
    <row r="85" spans="1:42" s="38" customFormat="1" ht="15" customHeight="1" x14ac:dyDescent="0.2">
      <c r="A85" s="220"/>
      <c r="B85" s="437">
        <f t="shared" ref="B85:AE85" ca="1" si="29">IF(DAY(B$10)=1,Monat.Ferien.JS+Monat.Ferien.Total-B84,A85-B84)</f>
        <v>0</v>
      </c>
      <c r="C85" s="437">
        <f t="shared" ca="1" si="29"/>
        <v>0</v>
      </c>
      <c r="D85" s="437">
        <f t="shared" ca="1" si="29"/>
        <v>0</v>
      </c>
      <c r="E85" s="437">
        <f t="shared" ca="1" si="29"/>
        <v>0</v>
      </c>
      <c r="F85" s="437">
        <f t="shared" ca="1" si="29"/>
        <v>0</v>
      </c>
      <c r="G85" s="437">
        <f t="shared" ca="1" si="29"/>
        <v>0</v>
      </c>
      <c r="H85" s="437">
        <f t="shared" ca="1" si="29"/>
        <v>0</v>
      </c>
      <c r="I85" s="437">
        <f t="shared" ca="1" si="29"/>
        <v>0</v>
      </c>
      <c r="J85" s="437">
        <f t="shared" ca="1" si="29"/>
        <v>0</v>
      </c>
      <c r="K85" s="437">
        <f t="shared" ca="1" si="29"/>
        <v>0</v>
      </c>
      <c r="L85" s="437">
        <f t="shared" ca="1" si="29"/>
        <v>0</v>
      </c>
      <c r="M85" s="437">
        <f t="shared" ca="1" si="29"/>
        <v>0</v>
      </c>
      <c r="N85" s="437">
        <f t="shared" ca="1" si="29"/>
        <v>0</v>
      </c>
      <c r="O85" s="437">
        <f t="shared" ca="1" si="29"/>
        <v>0</v>
      </c>
      <c r="P85" s="437">
        <f t="shared" ca="1" si="29"/>
        <v>0</v>
      </c>
      <c r="Q85" s="437">
        <f t="shared" ca="1" si="29"/>
        <v>0</v>
      </c>
      <c r="R85" s="437">
        <f t="shared" ca="1" si="29"/>
        <v>0</v>
      </c>
      <c r="S85" s="437">
        <f t="shared" ca="1" si="29"/>
        <v>0</v>
      </c>
      <c r="T85" s="437">
        <f t="shared" ca="1" si="29"/>
        <v>0</v>
      </c>
      <c r="U85" s="437">
        <f t="shared" ca="1" si="29"/>
        <v>0</v>
      </c>
      <c r="V85" s="437">
        <f t="shared" ca="1" si="29"/>
        <v>0</v>
      </c>
      <c r="W85" s="437">
        <f t="shared" ca="1" si="29"/>
        <v>0</v>
      </c>
      <c r="X85" s="437">
        <f t="shared" ca="1" si="29"/>
        <v>0</v>
      </c>
      <c r="Y85" s="437">
        <f t="shared" ca="1" si="29"/>
        <v>0</v>
      </c>
      <c r="Z85" s="437">
        <f t="shared" ca="1" si="29"/>
        <v>0</v>
      </c>
      <c r="AA85" s="437">
        <f t="shared" ca="1" si="29"/>
        <v>0</v>
      </c>
      <c r="AB85" s="437">
        <f t="shared" ca="1" si="29"/>
        <v>0</v>
      </c>
      <c r="AC85" s="437">
        <f t="shared" ca="1" si="29"/>
        <v>0</v>
      </c>
      <c r="AD85" s="437">
        <f t="shared" ca="1" si="29"/>
        <v>0</v>
      </c>
      <c r="AE85" s="437">
        <f t="shared" ca="1" si="29"/>
        <v>0</v>
      </c>
      <c r="AF85" s="212" t="s">
        <v>92</v>
      </c>
      <c r="AG85" s="45" t="s">
        <v>2</v>
      </c>
      <c r="AH85" s="48"/>
      <c r="AI85" s="270"/>
      <c r="AJ85" s="209"/>
      <c r="AK85" s="209"/>
      <c r="AL85" s="209"/>
      <c r="AM85" s="208"/>
      <c r="AN85" s="284"/>
      <c r="AO85" s="284"/>
      <c r="AP85" s="119"/>
    </row>
    <row r="86" spans="1:42" s="38" customFormat="1" ht="15" customHeight="1" x14ac:dyDescent="0.2">
      <c r="A86" s="212" t="s">
        <v>81</v>
      </c>
      <c r="B86" s="40"/>
      <c r="C86" s="40"/>
      <c r="D86" s="40"/>
      <c r="E86" s="27"/>
      <c r="F86" s="40"/>
      <c r="G86" s="40"/>
      <c r="H86" s="40"/>
      <c r="I86" s="40"/>
      <c r="J86" s="27"/>
      <c r="K86" s="40"/>
      <c r="L86" s="27"/>
      <c r="M86" s="40"/>
      <c r="N86" s="40"/>
      <c r="O86" s="40"/>
      <c r="P86" s="40"/>
      <c r="Q86" s="27"/>
      <c r="R86" s="40"/>
      <c r="S86" s="27"/>
      <c r="T86" s="27"/>
      <c r="U86" s="40"/>
      <c r="V86" s="40"/>
      <c r="W86" s="40"/>
      <c r="X86" s="27"/>
      <c r="Y86" s="40"/>
      <c r="Z86" s="39"/>
      <c r="AA86" s="40"/>
      <c r="AB86" s="40"/>
      <c r="AC86" s="40"/>
      <c r="AD86" s="40"/>
      <c r="AE86" s="27"/>
      <c r="AF86" s="205" t="str">
        <f t="shared" ref="AF86:AF95" si="30">A86</f>
        <v>Consultation</v>
      </c>
      <c r="AG86" s="218"/>
      <c r="AH86" s="238">
        <f t="shared" ref="AH86:AH95" si="31">SUM(B86:AE86)</f>
        <v>0</v>
      </c>
      <c r="AI86" s="261"/>
      <c r="AJ86" s="262"/>
      <c r="AK86" s="245">
        <f ca="1">IF(EB.Anwendung&lt;&gt;"",IF(MONTH(Monat.Tag1)=1,0,IF(MONTH(Monat.Tag1)=2,January!Monat.ArztUeVM,IF(MONTH(Monat.Tag1)=3,February!Monat.ArztUeVM,IF(MONTH(Monat.Tag1)=4,March!Monat.ArztUeVM,IF(MONTH(Monat.Tag1)=5,April!Monat.ArztUeVM,IF(MONTH(Monat.Tag1)=6,May!Monat.ArztUeVM,IF(MONTH(Monat.Tag1)=7,June!Monat.ArztUeVM,IF(MONTH(Monat.Tag1)=8,July!Monat.ArztUeVM,IF(MONTH(Monat.Tag1)=9,August!Monat.ArztUeVM,IF(MONTH(Monat.Tag1)=10,September!Monat.ArztUeVM,IF(MONTH(Monat.Tag1)=11,October!Monat.ArztUeVM,IF(MONTH(Monat.Tag1)=12,November!Monat.ArztUeVM,"")))))))))))),"")</f>
        <v>0</v>
      </c>
      <c r="AL86" s="209"/>
      <c r="AM86" s="246">
        <f t="shared" ref="AM86:AM94" ca="1" si="32">AH86+AK86</f>
        <v>0</v>
      </c>
      <c r="AN86" s="208"/>
      <c r="AO86" s="208"/>
      <c r="AP86" s="119"/>
    </row>
    <row r="87" spans="1:42" s="38" customFormat="1" ht="15" customHeight="1" x14ac:dyDescent="0.2">
      <c r="A87" s="212" t="s">
        <v>82</v>
      </c>
      <c r="B87" s="40"/>
      <c r="C87" s="40"/>
      <c r="D87" s="40"/>
      <c r="E87" s="27"/>
      <c r="F87" s="40"/>
      <c r="G87" s="40"/>
      <c r="H87" s="40"/>
      <c r="I87" s="40"/>
      <c r="J87" s="27"/>
      <c r="K87" s="40"/>
      <c r="L87" s="27"/>
      <c r="M87" s="40"/>
      <c r="N87" s="40"/>
      <c r="O87" s="40"/>
      <c r="P87" s="40"/>
      <c r="Q87" s="27"/>
      <c r="R87" s="40"/>
      <c r="S87" s="27"/>
      <c r="T87" s="27"/>
      <c r="U87" s="40"/>
      <c r="V87" s="40"/>
      <c r="W87" s="40"/>
      <c r="X87" s="27"/>
      <c r="Y87" s="40"/>
      <c r="Z87" s="39"/>
      <c r="AA87" s="40"/>
      <c r="AB87" s="40"/>
      <c r="AC87" s="40"/>
      <c r="AD87" s="40"/>
      <c r="AE87" s="27"/>
      <c r="AF87" s="205" t="str">
        <f t="shared" si="30"/>
        <v>Illness</v>
      </c>
      <c r="AG87" s="218"/>
      <c r="AH87" s="238">
        <f t="shared" si="31"/>
        <v>0</v>
      </c>
      <c r="AI87" s="261"/>
      <c r="AJ87" s="262"/>
      <c r="AK87" s="245">
        <f ca="1">IF(EB.Anwendung&lt;&gt;"",IF(MONTH(Monat.Tag1)=1,0,IF(MONTH(Monat.Tag1)=2,January!Monat.KrankUeVM,IF(MONTH(Monat.Tag1)=3,February!Monat.KrankUeVM,IF(MONTH(Monat.Tag1)=4,March!Monat.KrankUeVM,IF(MONTH(Monat.Tag1)=5,April!Monat.KrankUeVM,IF(MONTH(Monat.Tag1)=6,May!Monat.KrankUeVM,IF(MONTH(Monat.Tag1)=7,June!Monat.KrankUeVM,IF(MONTH(Monat.Tag1)=8,July!Monat.KrankUeVM,IF(MONTH(Monat.Tag1)=9,August!Monat.KrankUeVM,IF(MONTH(Monat.Tag1)=10,September!Monat.KrankUeVM,IF(MONTH(Monat.Tag1)=11,October!Monat.KrankUeVM,IF(MONTH(Monat.Tag1)=12,November!Monat.KrankUeVM,"")))))))))))),"")</f>
        <v>0</v>
      </c>
      <c r="AL87" s="209"/>
      <c r="AM87" s="246">
        <f t="shared" ca="1" si="32"/>
        <v>0</v>
      </c>
      <c r="AN87" s="208"/>
      <c r="AO87" s="208"/>
      <c r="AP87" s="119"/>
    </row>
    <row r="88" spans="1:42" s="38" customFormat="1" ht="15" customHeight="1" x14ac:dyDescent="0.2">
      <c r="A88" s="212" t="s">
        <v>83</v>
      </c>
      <c r="B88" s="40"/>
      <c r="C88" s="40"/>
      <c r="D88" s="40"/>
      <c r="E88" s="27"/>
      <c r="F88" s="40"/>
      <c r="G88" s="40"/>
      <c r="H88" s="40"/>
      <c r="I88" s="40"/>
      <c r="J88" s="27"/>
      <c r="K88" s="40"/>
      <c r="L88" s="27"/>
      <c r="M88" s="40"/>
      <c r="N88" s="40"/>
      <c r="O88" s="40"/>
      <c r="P88" s="40"/>
      <c r="Q88" s="27"/>
      <c r="R88" s="40"/>
      <c r="S88" s="27"/>
      <c r="T88" s="27"/>
      <c r="U88" s="40"/>
      <c r="V88" s="40"/>
      <c r="W88" s="40"/>
      <c r="X88" s="27"/>
      <c r="Y88" s="40"/>
      <c r="Z88" s="39"/>
      <c r="AA88" s="40"/>
      <c r="AB88" s="40"/>
      <c r="AC88" s="40"/>
      <c r="AD88" s="40"/>
      <c r="AE88" s="27"/>
      <c r="AF88" s="205" t="str">
        <f t="shared" si="30"/>
        <v>Work-related accident</v>
      </c>
      <c r="AG88" s="218"/>
      <c r="AH88" s="238">
        <f t="shared" si="31"/>
        <v>0</v>
      </c>
      <c r="AI88" s="261"/>
      <c r="AJ88" s="262"/>
      <c r="AK88" s="245">
        <f ca="1">IF(EB.Anwendung&lt;&gt;"",IF(MONTH(Monat.Tag1)=1,0,IF(MONTH(Monat.Tag1)=2,January!Monat.BUUeVM,IF(MONTH(Monat.Tag1)=3,February!Monat.BUUeVM,IF(MONTH(Monat.Tag1)=4,March!Monat.BUUeVM,IF(MONTH(Monat.Tag1)=5,April!Monat.BUUeVM,IF(MONTH(Monat.Tag1)=6,May!Monat.BUUeVM,IF(MONTH(Monat.Tag1)=7,June!Monat.BUUeVM,IF(MONTH(Monat.Tag1)=8,July!Monat.BUUeVM,IF(MONTH(Monat.Tag1)=9,August!Monat.BUUeVM,IF(MONTH(Monat.Tag1)=10,September!Monat.BUUeVM,IF(MONTH(Monat.Tag1)=11,October!Monat.BUUeVM,IF(MONTH(Monat.Tag1)=12,November!Monat.BUUeVM,"")))))))))))),"")</f>
        <v>0</v>
      </c>
      <c r="AL88" s="209"/>
      <c r="AM88" s="246">
        <f t="shared" ca="1" si="32"/>
        <v>0</v>
      </c>
      <c r="AN88" s="208"/>
      <c r="AO88" s="208"/>
      <c r="AP88" s="119"/>
    </row>
    <row r="89" spans="1:42" s="38" customFormat="1" ht="15" customHeight="1" x14ac:dyDescent="0.2">
      <c r="A89" s="212" t="s">
        <v>240</v>
      </c>
      <c r="B89" s="40"/>
      <c r="C89" s="40"/>
      <c r="D89" s="40"/>
      <c r="E89" s="27"/>
      <c r="F89" s="40"/>
      <c r="G89" s="40"/>
      <c r="H89" s="40"/>
      <c r="I89" s="40"/>
      <c r="J89" s="27"/>
      <c r="K89" s="40"/>
      <c r="L89" s="27"/>
      <c r="M89" s="40"/>
      <c r="N89" s="40"/>
      <c r="O89" s="40"/>
      <c r="P89" s="40"/>
      <c r="Q89" s="27"/>
      <c r="R89" s="40"/>
      <c r="S89" s="27"/>
      <c r="T89" s="27"/>
      <c r="U89" s="40"/>
      <c r="V89" s="40"/>
      <c r="W89" s="40"/>
      <c r="X89" s="27"/>
      <c r="Y89" s="40"/>
      <c r="Z89" s="39"/>
      <c r="AA89" s="40"/>
      <c r="AB89" s="40"/>
      <c r="AC89" s="40"/>
      <c r="AD89" s="40"/>
      <c r="AE89" s="27"/>
      <c r="AF89" s="205" t="str">
        <f t="shared" si="30"/>
        <v>Non-work-related accident</v>
      </c>
      <c r="AG89" s="218"/>
      <c r="AH89" s="238">
        <f t="shared" si="31"/>
        <v>0</v>
      </c>
      <c r="AI89" s="261"/>
      <c r="AJ89" s="262"/>
      <c r="AK89" s="245">
        <f ca="1">IF(EB.Anwendung&lt;&gt;"",IF(MONTH(Monat.Tag1)=1,0,IF(MONTH(Monat.Tag1)=2,January!Monat.NBUUeVM,IF(MONTH(Monat.Tag1)=3,February!Monat.NBUUeVM,IF(MONTH(Monat.Tag1)=4,March!Monat.NBUUeVM,IF(MONTH(Monat.Tag1)=5,April!Monat.NBUUeVM,IF(MONTH(Monat.Tag1)=6,May!Monat.NBUUeVM,IF(MONTH(Monat.Tag1)=7,June!Monat.NBUUeVM,IF(MONTH(Monat.Tag1)=8,July!Monat.NBUUeVM,IF(MONTH(Monat.Tag1)=9,August!Monat.NBUUeVM,IF(MONTH(Monat.Tag1)=10,September!Monat.NBUUeVM,IF(MONTH(Monat.Tag1)=11,October!Monat.NBUUeVM,IF(MONTH(Monat.Tag1)=12,November!Monat.NBUUeVM,"")))))))))))),"")</f>
        <v>0</v>
      </c>
      <c r="AL89" s="209"/>
      <c r="AM89" s="246">
        <f t="shared" ca="1" si="32"/>
        <v>0</v>
      </c>
      <c r="AN89" s="208"/>
      <c r="AO89" s="208"/>
      <c r="AP89" s="119"/>
    </row>
    <row r="90" spans="1:42" s="38" customFormat="1" ht="15" customHeight="1" x14ac:dyDescent="0.2">
      <c r="A90" s="212" t="s">
        <v>84</v>
      </c>
      <c r="B90" s="40"/>
      <c r="C90" s="40"/>
      <c r="D90" s="40"/>
      <c r="E90" s="27"/>
      <c r="F90" s="40"/>
      <c r="G90" s="40"/>
      <c r="H90" s="40"/>
      <c r="I90" s="40"/>
      <c r="J90" s="27"/>
      <c r="K90" s="40"/>
      <c r="L90" s="27"/>
      <c r="M90" s="40"/>
      <c r="N90" s="40"/>
      <c r="O90" s="40"/>
      <c r="P90" s="40"/>
      <c r="Q90" s="27"/>
      <c r="R90" s="40"/>
      <c r="S90" s="27"/>
      <c r="T90" s="27"/>
      <c r="U90" s="40"/>
      <c r="V90" s="40"/>
      <c r="W90" s="40"/>
      <c r="X90" s="27"/>
      <c r="Y90" s="40"/>
      <c r="Z90" s="39"/>
      <c r="AA90" s="40"/>
      <c r="AB90" s="40"/>
      <c r="AC90" s="40"/>
      <c r="AD90" s="40"/>
      <c r="AE90" s="27"/>
      <c r="AF90" s="205" t="str">
        <f t="shared" si="30"/>
        <v>Military/civilian service</v>
      </c>
      <c r="AG90" s="218"/>
      <c r="AH90" s="238">
        <f t="shared" si="31"/>
        <v>0</v>
      </c>
      <c r="AI90" s="261"/>
      <c r="AJ90" s="262"/>
      <c r="AK90" s="245">
        <f ca="1">IF(EB.Anwendung&lt;&gt;"",IF(MONTH(Monat.Tag1)=1,0,IF(MONTH(Monat.Tag1)=2,January!Monat.MZSUeVM,IF(MONTH(Monat.Tag1)=3,February!Monat.MZSUeVM,IF(MONTH(Monat.Tag1)=4,March!Monat.MZSUeVM,IF(MONTH(Monat.Tag1)=5,April!Monat.MZSUeVM,IF(MONTH(Monat.Tag1)=6,May!Monat.MZSUeVM,IF(MONTH(Monat.Tag1)=7,June!Monat.MZSUeVM,IF(MONTH(Monat.Tag1)=8,July!Monat.MZSUeVM,IF(MONTH(Monat.Tag1)=9,August!Monat.MZSUeVM,IF(MONTH(Monat.Tag1)=10,September!Monat.MZSUeVM,IF(MONTH(Monat.Tag1)=11,October!Monat.MZSUeVM,IF(MONTH(Monat.Tag1)=12,November!Monat.MZSUeVM,"")))))))))))),"")</f>
        <v>0</v>
      </c>
      <c r="AL90" s="209"/>
      <c r="AM90" s="246">
        <f t="shared" ca="1" si="32"/>
        <v>0</v>
      </c>
      <c r="AN90" s="208"/>
      <c r="AO90" s="208"/>
      <c r="AP90" s="119"/>
    </row>
    <row r="91" spans="1:42" s="38" customFormat="1" ht="15" customHeight="1" x14ac:dyDescent="0.2">
      <c r="A91" s="212" t="s">
        <v>85</v>
      </c>
      <c r="B91" s="40"/>
      <c r="C91" s="40"/>
      <c r="D91" s="40"/>
      <c r="E91" s="27"/>
      <c r="F91" s="40"/>
      <c r="G91" s="40"/>
      <c r="H91" s="40"/>
      <c r="I91" s="40"/>
      <c r="J91" s="27"/>
      <c r="K91" s="40"/>
      <c r="L91" s="27"/>
      <c r="M91" s="40"/>
      <c r="N91" s="40"/>
      <c r="O91" s="40"/>
      <c r="P91" s="40"/>
      <c r="Q91" s="27"/>
      <c r="R91" s="40"/>
      <c r="S91" s="27"/>
      <c r="T91" s="27"/>
      <c r="U91" s="40"/>
      <c r="V91" s="40"/>
      <c r="W91" s="40"/>
      <c r="X91" s="27"/>
      <c r="Y91" s="40"/>
      <c r="Z91" s="39"/>
      <c r="AA91" s="40"/>
      <c r="AB91" s="40"/>
      <c r="AC91" s="40"/>
      <c r="AD91" s="40"/>
      <c r="AE91" s="27"/>
      <c r="AF91" s="205" t="str">
        <f t="shared" si="30"/>
        <v>Continuing education</v>
      </c>
      <c r="AG91" s="218"/>
      <c r="AH91" s="238">
        <f t="shared" si="31"/>
        <v>0</v>
      </c>
      <c r="AI91" s="261"/>
      <c r="AJ91" s="262"/>
      <c r="AK91" s="245">
        <f ca="1">IF(EB.Anwendung&lt;&gt;"",IF(MONTH(Monat.Tag1)=1,0,IF(MONTH(Monat.Tag1)=2,January!Monat.WBUeVM,IF(MONTH(Monat.Tag1)=3,February!Monat.WBUeVM,IF(MONTH(Monat.Tag1)=4,March!Monat.WBUeVM,IF(MONTH(Monat.Tag1)=5,April!Monat.WBUeVM,IF(MONTH(Monat.Tag1)=6,May!Monat.WBUeVM,IF(MONTH(Monat.Tag1)=7,June!Monat.WBUeVM,IF(MONTH(Monat.Tag1)=8,July!Monat.WBUeVM,IF(MONTH(Monat.Tag1)=9,August!Monat.WBUeVM,IF(MONTH(Monat.Tag1)=10,September!Monat.WBUeVM,IF(MONTH(Monat.Tag1)=11,October!Monat.WBUeVM,IF(MONTH(Monat.Tag1)=12,November!Monat.WBUeVM,"")))))))))))),"")</f>
        <v>0</v>
      </c>
      <c r="AL91" s="209"/>
      <c r="AM91" s="246">
        <f t="shared" ca="1" si="32"/>
        <v>0</v>
      </c>
      <c r="AN91" s="208"/>
      <c r="AO91" s="208"/>
      <c r="AP91" s="119"/>
    </row>
    <row r="92" spans="1:42" s="38" customFormat="1" ht="15" customHeight="1" x14ac:dyDescent="0.2">
      <c r="A92" s="212" t="s">
        <v>86</v>
      </c>
      <c r="B92" s="40"/>
      <c r="C92" s="40"/>
      <c r="D92" s="40"/>
      <c r="E92" s="27"/>
      <c r="F92" s="40"/>
      <c r="G92" s="40"/>
      <c r="H92" s="40"/>
      <c r="I92" s="40"/>
      <c r="J92" s="27"/>
      <c r="K92" s="40"/>
      <c r="L92" s="27"/>
      <c r="M92" s="40"/>
      <c r="N92" s="40"/>
      <c r="O92" s="40"/>
      <c r="P92" s="40"/>
      <c r="Q92" s="27"/>
      <c r="R92" s="40"/>
      <c r="S92" s="27"/>
      <c r="T92" s="27"/>
      <c r="U92" s="40"/>
      <c r="V92" s="40"/>
      <c r="W92" s="40"/>
      <c r="X92" s="27"/>
      <c r="Y92" s="40"/>
      <c r="Z92" s="39"/>
      <c r="AA92" s="40"/>
      <c r="AB92" s="40"/>
      <c r="AC92" s="40"/>
      <c r="AD92" s="40"/>
      <c r="AE92" s="27"/>
      <c r="AF92" s="205" t="str">
        <f t="shared" si="30"/>
        <v>Paid leave</v>
      </c>
      <c r="AG92" s="218"/>
      <c r="AH92" s="238">
        <f t="shared" si="31"/>
        <v>0</v>
      </c>
      <c r="AI92" s="261"/>
      <c r="AJ92" s="262"/>
      <c r="AK92" s="245">
        <f ca="1">IF(EB.Anwendung&lt;&gt;"",IF(MONTH(Monat.Tag1)=1,0,IF(MONTH(Monat.Tag1)=2,January!Monat.BesUrlaubUeVM,IF(MONTH(Monat.Tag1)=3,February!Monat.BesUrlaubUeVM,IF(MONTH(Monat.Tag1)=4,March!Monat.BesUrlaubUeVM,IF(MONTH(Monat.Tag1)=5,April!Monat.BesUrlaubUeVM,IF(MONTH(Monat.Tag1)=6,May!Monat.BesUrlaubUeVM,IF(MONTH(Monat.Tag1)=7,June!Monat.BesUrlaubUeVM,IF(MONTH(Monat.Tag1)=8,July!Monat.BesUrlaubUeVM,IF(MONTH(Monat.Tag1)=9,August!Monat.BesUrlaubUeVM,IF(MONTH(Monat.Tag1)=10,September!Monat.BesUrlaubUeVM,IF(MONTH(Monat.Tag1)=11,October!Monat.BesUrlaubUeVM,IF(MONTH(Monat.Tag1)=12,November!Monat.BesUrlaubUeVM,"")))))))))))),"")</f>
        <v>0</v>
      </c>
      <c r="AL92" s="209"/>
      <c r="AM92" s="246">
        <f t="shared" ca="1" si="32"/>
        <v>0</v>
      </c>
      <c r="AN92" s="208"/>
      <c r="AO92" s="208"/>
      <c r="AP92" s="119"/>
    </row>
    <row r="93" spans="1:42" s="38" customFormat="1" ht="15" customHeight="1" x14ac:dyDescent="0.2">
      <c r="A93" s="212" t="s">
        <v>87</v>
      </c>
      <c r="B93" s="40"/>
      <c r="C93" s="40"/>
      <c r="D93" s="40"/>
      <c r="E93" s="27"/>
      <c r="F93" s="40"/>
      <c r="G93" s="40"/>
      <c r="H93" s="40"/>
      <c r="I93" s="40"/>
      <c r="J93" s="27"/>
      <c r="K93" s="40"/>
      <c r="L93" s="27"/>
      <c r="M93" s="40"/>
      <c r="N93" s="40"/>
      <c r="O93" s="40"/>
      <c r="P93" s="40"/>
      <c r="Q93" s="27"/>
      <c r="R93" s="40"/>
      <c r="S93" s="27"/>
      <c r="T93" s="27"/>
      <c r="U93" s="40"/>
      <c r="V93" s="40"/>
      <c r="W93" s="40"/>
      <c r="X93" s="27"/>
      <c r="Y93" s="40"/>
      <c r="Z93" s="39"/>
      <c r="AA93" s="40"/>
      <c r="AB93" s="40"/>
      <c r="AC93" s="40"/>
      <c r="AD93" s="40"/>
      <c r="AE93" s="27"/>
      <c r="AF93" s="205" t="str">
        <f t="shared" si="30"/>
        <v>Unpaid leave</v>
      </c>
      <c r="AG93" s="218"/>
      <c r="AH93" s="238">
        <f t="shared" si="31"/>
        <v>0</v>
      </c>
      <c r="AI93" s="261"/>
      <c r="AJ93" s="262"/>
      <c r="AK93" s="245">
        <f ca="1">IF(EB.Anwendung&lt;&gt;"",IF(MONTH(Monat.Tag1)=1,0,IF(MONTH(Monat.Tag1)=2,January!Monat.UnbesUrlaubUeVM,IF(MONTH(Monat.Tag1)=3,February!Monat.UnbesUrlaubUeVM,IF(MONTH(Monat.Tag1)=4,March!Monat.UnbesUrlaubUeVM,IF(MONTH(Monat.Tag1)=5,April!Monat.UnbesUrlaubUeVM,IF(MONTH(Monat.Tag1)=6,May!Monat.UnbesUrlaubUeVM,IF(MONTH(Monat.Tag1)=7,June!Monat.UnbesUrlaubUeVM,IF(MONTH(Monat.Tag1)=8,July!Monat.UnbesUrlaubUeVM,IF(MONTH(Monat.Tag1)=9,August!Monat.UnbesUrlaubUeVM,IF(MONTH(Monat.Tag1)=10,September!Monat.UnbesUrlaubUeVM,IF(MONTH(Monat.Tag1)=11,October!Monat.UnbesUrlaubUeVM,IF(MONTH(Monat.Tag1)=12,November!Monat.UnbesUrlaubUeVM,"")))))))))))),"")</f>
        <v>0</v>
      </c>
      <c r="AL93" s="209"/>
      <c r="AM93" s="246">
        <f t="shared" ca="1" si="32"/>
        <v>0</v>
      </c>
      <c r="AN93" s="208"/>
      <c r="AO93" s="208"/>
      <c r="AP93" s="119"/>
    </row>
    <row r="94" spans="1:42" s="38" customFormat="1" ht="15" hidden="1" customHeight="1" outlineLevel="1" x14ac:dyDescent="0.2">
      <c r="A94" s="212" t="s">
        <v>120</v>
      </c>
      <c r="B94" s="40"/>
      <c r="C94" s="40"/>
      <c r="D94" s="40"/>
      <c r="E94" s="27"/>
      <c r="F94" s="40"/>
      <c r="G94" s="40"/>
      <c r="H94" s="40"/>
      <c r="I94" s="40"/>
      <c r="J94" s="27"/>
      <c r="K94" s="40"/>
      <c r="L94" s="27"/>
      <c r="M94" s="40"/>
      <c r="N94" s="40"/>
      <c r="O94" s="40"/>
      <c r="P94" s="40"/>
      <c r="Q94" s="27"/>
      <c r="R94" s="40"/>
      <c r="S94" s="27"/>
      <c r="T94" s="27"/>
      <c r="U94" s="40"/>
      <c r="V94" s="40"/>
      <c r="W94" s="40"/>
      <c r="X94" s="27"/>
      <c r="Y94" s="40"/>
      <c r="Z94" s="39"/>
      <c r="AA94" s="40"/>
      <c r="AB94" s="40"/>
      <c r="AC94" s="40"/>
      <c r="AD94" s="40"/>
      <c r="AE94" s="27"/>
      <c r="AF94" s="205" t="str">
        <f t="shared" si="30"/>
        <v>Secondary employment</v>
      </c>
      <c r="AG94" s="218"/>
      <c r="AH94" s="238">
        <f t="shared" si="31"/>
        <v>0</v>
      </c>
      <c r="AI94" s="261"/>
      <c r="AJ94" s="262"/>
      <c r="AK94" s="245">
        <f ca="1">IF(EB.Anwendung&lt;&gt;"",IF(MONTH(Monat.Tag1)=1,0,IF(MONTH(Monat.Tag1)=2,January!Monat.NBUeVM,IF(MONTH(Monat.Tag1)=3,February!Monat.NBUeVM,IF(MONTH(Monat.Tag1)=4,March!Monat.NBUeVM,IF(MONTH(Monat.Tag1)=5,April!Monat.NBUeVM,IF(MONTH(Monat.Tag1)=6,May!Monat.NBUeVM,IF(MONTH(Monat.Tag1)=7,June!Monat.NBUeVM,IF(MONTH(Monat.Tag1)=8,July!Monat.NBUeVM,IF(MONTH(Monat.Tag1)=9,August!Monat.NBUeVM,IF(MONTH(Monat.Tag1)=10,September!Monat.NBUeVM,IF(MONTH(Monat.Tag1)=11,October!Monat.NBUeVM,IF(MONTH(Monat.Tag1)=12,November!Monat.NBUeVM,"")))))))))))),"")</f>
        <v>0</v>
      </c>
      <c r="AL94" s="209"/>
      <c r="AM94" s="246">
        <f t="shared" ca="1" si="32"/>
        <v>0</v>
      </c>
      <c r="AN94" s="208"/>
      <c r="AO94" s="208"/>
      <c r="AP94" s="119"/>
    </row>
    <row r="95" spans="1:42" s="38" customFormat="1" ht="15" customHeight="1" collapsed="1" x14ac:dyDescent="0.2">
      <c r="A95" s="212" t="s">
        <v>56</v>
      </c>
      <c r="B95" s="40"/>
      <c r="C95" s="40"/>
      <c r="D95" s="40"/>
      <c r="E95" s="27"/>
      <c r="F95" s="40"/>
      <c r="G95" s="40"/>
      <c r="H95" s="40"/>
      <c r="I95" s="40"/>
      <c r="J95" s="27"/>
      <c r="K95" s="40"/>
      <c r="L95" s="27"/>
      <c r="M95" s="40"/>
      <c r="N95" s="40"/>
      <c r="O95" s="40"/>
      <c r="P95" s="40"/>
      <c r="Q95" s="27"/>
      <c r="R95" s="40"/>
      <c r="S95" s="27"/>
      <c r="T95" s="27"/>
      <c r="U95" s="40"/>
      <c r="V95" s="40"/>
      <c r="W95" s="40"/>
      <c r="X95" s="27"/>
      <c r="Y95" s="40"/>
      <c r="Z95" s="39"/>
      <c r="AA95" s="40"/>
      <c r="AB95" s="40"/>
      <c r="AC95" s="40"/>
      <c r="AD95" s="40"/>
      <c r="AE95" s="27"/>
      <c r="AF95" s="205" t="str">
        <f t="shared" si="30"/>
        <v>Seniority allowance</v>
      </c>
      <c r="AG95" s="218"/>
      <c r="AH95" s="238">
        <f t="shared" si="31"/>
        <v>0</v>
      </c>
      <c r="AI95" s="261"/>
      <c r="AJ95" s="262"/>
      <c r="AK95" s="245">
        <f ca="1">IF(EB.Anwendung&lt;&gt;"",IF(MONTH(Monat.Tag1)=1,EB.DAG,IF(MONTH(Monat.Tag1)=2,January!Monat.DAGUeVM,IF(MONTH(Monat.Tag1)=3,February!Monat.DAGUeVM,IF(MONTH(Monat.Tag1)=4,March!Monat.DAGUeVM,IF(MONTH(Monat.Tag1)=5,April!Monat.DAGUeVM,IF(MONTH(Monat.Tag1)=6,May!Monat.DAGUeVM,IF(MONTH(Monat.Tag1)=7,June!Monat.DAGUeVM,IF(MONTH(Monat.Tag1)=8,July!Monat.DAGUeVM,IF(MONTH(Monat.Tag1)=9,August!Monat.DAGUeVM,IF(MONTH(Monat.Tag1)=10,September!Monat.DAGUeVM,IF(MONTH(Monat.Tag1)=11,October!Monat.DAGUeVM,IF(MONTH(Monat.Tag1)=12,November!Monat.DAGUeVM,"")))))))))))),"")</f>
        <v>0</v>
      </c>
      <c r="AL95" s="209"/>
      <c r="AM95" s="246">
        <f ca="1">AK95-AH95</f>
        <v>0</v>
      </c>
      <c r="AN95" s="208"/>
      <c r="AO95" s="208"/>
      <c r="AP95" s="119"/>
    </row>
    <row r="96" spans="1:42" s="38" customFormat="1" ht="11.25" customHeight="1" x14ac:dyDescent="0.2">
      <c r="A96" s="220"/>
      <c r="B96" s="223"/>
      <c r="C96" s="223"/>
      <c r="D96" s="223"/>
      <c r="E96" s="223"/>
      <c r="F96" s="223"/>
      <c r="G96" s="223"/>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23"/>
      <c r="AF96" s="205"/>
      <c r="AG96" s="228"/>
      <c r="AH96" s="224"/>
      <c r="AI96" s="278"/>
      <c r="AJ96" s="262"/>
      <c r="AK96" s="262"/>
      <c r="AL96" s="209"/>
      <c r="AM96" s="279"/>
      <c r="AN96" s="213"/>
      <c r="AO96" s="213"/>
      <c r="AP96" s="119"/>
    </row>
    <row r="97" spans="1:42" s="38" customFormat="1" ht="15" customHeight="1" x14ac:dyDescent="0.2">
      <c r="A97" s="215" t="str">
        <f t="shared" ref="A97:A111" ca="1" si="33">IF(ROW(A97)-ROW(INDEX(Monat.Projekte.Zeilen,1))+1&gt;EB.AnzProjekte,"",OFFSET(EB.Projekte.Knoten,ROW(A97)-ROW(INDEX(Monat.Projekte.Zeilen,1))+1,0,1,1))</f>
        <v/>
      </c>
      <c r="B97" s="40"/>
      <c r="C97" s="40"/>
      <c r="D97" s="40"/>
      <c r="E97" s="27"/>
      <c r="F97" s="40"/>
      <c r="G97" s="40"/>
      <c r="H97" s="40"/>
      <c r="I97" s="40"/>
      <c r="J97" s="27"/>
      <c r="K97" s="40"/>
      <c r="L97" s="27"/>
      <c r="M97" s="40"/>
      <c r="N97" s="40"/>
      <c r="O97" s="40"/>
      <c r="P97" s="40"/>
      <c r="Q97" s="27"/>
      <c r="R97" s="40"/>
      <c r="S97" s="27"/>
      <c r="T97" s="27"/>
      <c r="U97" s="40"/>
      <c r="V97" s="40"/>
      <c r="W97" s="40"/>
      <c r="X97" s="27"/>
      <c r="Y97" s="40"/>
      <c r="Z97" s="39"/>
      <c r="AA97" s="40"/>
      <c r="AB97" s="40"/>
      <c r="AC97" s="40"/>
      <c r="AD97" s="40"/>
      <c r="AE97" s="27"/>
      <c r="AF97" s="205" t="str">
        <f t="shared" ref="AF97:AF112" ca="1" si="34">A97</f>
        <v/>
      </c>
      <c r="AG97" s="233"/>
      <c r="AH97" s="285">
        <f t="shared" ref="AH97:AH112" si="35">SUM(B97:AE97)</f>
        <v>0</v>
      </c>
      <c r="AI97" s="261"/>
      <c r="AJ97" s="224"/>
      <c r="AK97" s="245">
        <f ca="1">IF(EB.Anwendung&lt;&gt;"",IF(MONTH(Monat.Tag1)=1,0,IF(MONTH(Monat.Tag1)=2,January!Monat.P1UeVM,IF(MONTH(Monat.Tag1)=3,February!Monat.P1UeVM,IF(MONTH(Monat.Tag1)=4,March!Monat.P1UeVM,IF(MONTH(Monat.Tag1)=5,April!Monat.P1UeVM,IF(MONTH(Monat.Tag1)=6,May!Monat.P1UeVM,IF(MONTH(Monat.Tag1)=7,June!Monat.P1UeVM,IF(MONTH(Monat.Tag1)=8,July!Monat.P1UeVM,IF(MONTH(Monat.Tag1)=9,August!Monat.P1UeVM,IF(MONTH(Monat.Tag1)=10,September!Monat.P1UeVM,IF(MONTH(Monat.Tag1)=11,October!Monat.P1UeVM,IF(MONTH(Monat.Tag1)=12,November!Monat.P1UeVM,"")))))))))))),"")</f>
        <v>0</v>
      </c>
      <c r="AL97" s="209"/>
      <c r="AM97" s="246">
        <f t="shared" ref="AM97:AM112" ca="1" si="36">AH97+AK97</f>
        <v>0</v>
      </c>
      <c r="AN97" s="208"/>
      <c r="AO97" s="208"/>
      <c r="AP97" s="119"/>
    </row>
    <row r="98" spans="1:42" s="38" customFormat="1" ht="15" customHeight="1" x14ac:dyDescent="0.2">
      <c r="A98" s="215" t="str">
        <f t="shared" ca="1" si="33"/>
        <v/>
      </c>
      <c r="B98" s="40"/>
      <c r="C98" s="40"/>
      <c r="D98" s="40"/>
      <c r="E98" s="27"/>
      <c r="F98" s="40"/>
      <c r="G98" s="40"/>
      <c r="H98" s="40"/>
      <c r="I98" s="40"/>
      <c r="J98" s="27"/>
      <c r="K98" s="40"/>
      <c r="L98" s="27"/>
      <c r="M98" s="40"/>
      <c r="N98" s="40"/>
      <c r="O98" s="40"/>
      <c r="P98" s="40"/>
      <c r="Q98" s="27"/>
      <c r="R98" s="40"/>
      <c r="S98" s="27"/>
      <c r="T98" s="27"/>
      <c r="U98" s="40"/>
      <c r="V98" s="40"/>
      <c r="W98" s="40"/>
      <c r="X98" s="27"/>
      <c r="Y98" s="40"/>
      <c r="Z98" s="39"/>
      <c r="AA98" s="40"/>
      <c r="AB98" s="40"/>
      <c r="AC98" s="40"/>
      <c r="AD98" s="40"/>
      <c r="AE98" s="27"/>
      <c r="AF98" s="205" t="str">
        <f t="shared" ca="1" si="34"/>
        <v/>
      </c>
      <c r="AG98" s="218"/>
      <c r="AH98" s="238">
        <f t="shared" si="35"/>
        <v>0</v>
      </c>
      <c r="AI98" s="261"/>
      <c r="AJ98" s="224"/>
      <c r="AK98" s="245">
        <f ca="1">IF(EB.Anwendung&lt;&gt;"",IF(MONTH(Monat.Tag1)=1,0,IF(MONTH(Monat.Tag1)=2,January!Monat.P2UeVM,IF(MONTH(Monat.Tag1)=3,February!Monat.P2UeVM,IF(MONTH(Monat.Tag1)=4,March!Monat.P2UeVM,IF(MONTH(Monat.Tag1)=5,April!Monat.P2UeVM,IF(MONTH(Monat.Tag1)=6,May!Monat.P2UeVM,IF(MONTH(Monat.Tag1)=7,June!Monat.P2UeVM,IF(MONTH(Monat.Tag1)=8,July!Monat.P2UeVM,IF(MONTH(Monat.Tag1)=9,August!Monat.P2UeVM,IF(MONTH(Monat.Tag1)=10,September!Monat.P2UeVM,IF(MONTH(Monat.Tag1)=11,October!Monat.P2UeVM,IF(MONTH(Monat.Tag1)=12,November!Monat.P2UeVM,"")))))))))))),"")</f>
        <v>0</v>
      </c>
      <c r="AL98" s="209"/>
      <c r="AM98" s="246">
        <f t="shared" ca="1" si="36"/>
        <v>0</v>
      </c>
      <c r="AN98" s="208"/>
      <c r="AO98" s="208"/>
      <c r="AP98" s="119"/>
    </row>
    <row r="99" spans="1:42" s="38" customFormat="1" ht="15" customHeight="1" x14ac:dyDescent="0.2">
      <c r="A99" s="215" t="str">
        <f t="shared" ca="1" si="33"/>
        <v/>
      </c>
      <c r="B99" s="40"/>
      <c r="C99" s="40"/>
      <c r="D99" s="40"/>
      <c r="E99" s="27"/>
      <c r="F99" s="40"/>
      <c r="G99" s="40"/>
      <c r="H99" s="40"/>
      <c r="I99" s="40"/>
      <c r="J99" s="27"/>
      <c r="K99" s="40"/>
      <c r="L99" s="27"/>
      <c r="M99" s="40"/>
      <c r="N99" s="40"/>
      <c r="O99" s="40"/>
      <c r="P99" s="40"/>
      <c r="Q99" s="27"/>
      <c r="R99" s="40"/>
      <c r="S99" s="27"/>
      <c r="T99" s="27"/>
      <c r="U99" s="40"/>
      <c r="V99" s="40"/>
      <c r="W99" s="40"/>
      <c r="X99" s="27"/>
      <c r="Y99" s="40"/>
      <c r="Z99" s="39"/>
      <c r="AA99" s="40"/>
      <c r="AB99" s="40"/>
      <c r="AC99" s="40"/>
      <c r="AD99" s="40"/>
      <c r="AE99" s="27"/>
      <c r="AF99" s="205" t="str">
        <f t="shared" ca="1" si="34"/>
        <v/>
      </c>
      <c r="AG99" s="286"/>
      <c r="AH99" s="238">
        <f t="shared" si="35"/>
        <v>0</v>
      </c>
      <c r="AI99" s="261"/>
      <c r="AJ99" s="224"/>
      <c r="AK99" s="245">
        <f ca="1">IF(EB.Anwendung&lt;&gt;"",IF(MONTH(Monat.Tag1)=1,0,IF(MONTH(Monat.Tag1)=2,January!Monat.P3UeVM,IF(MONTH(Monat.Tag1)=3,February!Monat.P3UeVM,IF(MONTH(Monat.Tag1)=4,March!Monat.P3UeVM,IF(MONTH(Monat.Tag1)=5,April!Monat.P3UeVM,IF(MONTH(Monat.Tag1)=6,May!Monat.P3UeVM,IF(MONTH(Monat.Tag1)=7,June!Monat.P3UeVM,IF(MONTH(Monat.Tag1)=8,July!Monat.P3UeVM,IF(MONTH(Monat.Tag1)=9,August!Monat.P3UeVM,IF(MONTH(Monat.Tag1)=10,September!Monat.P3UeVM,IF(MONTH(Monat.Tag1)=11,October!Monat.P3UeVM,IF(MONTH(Monat.Tag1)=12,November!Monat.P3UeVM,"")))))))))))),"")</f>
        <v>0</v>
      </c>
      <c r="AL99" s="209"/>
      <c r="AM99" s="246">
        <f t="shared" ca="1" si="36"/>
        <v>0</v>
      </c>
      <c r="AN99" s="208"/>
      <c r="AO99" s="208"/>
      <c r="AP99" s="119"/>
    </row>
    <row r="100" spans="1:42" s="38" customFormat="1" ht="15" customHeight="1" x14ac:dyDescent="0.2">
      <c r="A100" s="215" t="str">
        <f t="shared" ca="1" si="33"/>
        <v/>
      </c>
      <c r="B100" s="40"/>
      <c r="C100" s="40"/>
      <c r="D100" s="40"/>
      <c r="E100" s="27"/>
      <c r="F100" s="40"/>
      <c r="G100" s="40"/>
      <c r="H100" s="40"/>
      <c r="I100" s="40"/>
      <c r="J100" s="27"/>
      <c r="K100" s="40"/>
      <c r="L100" s="27"/>
      <c r="M100" s="40"/>
      <c r="N100" s="40"/>
      <c r="O100" s="40"/>
      <c r="P100" s="40"/>
      <c r="Q100" s="27"/>
      <c r="R100" s="40"/>
      <c r="S100" s="27"/>
      <c r="T100" s="27"/>
      <c r="U100" s="40"/>
      <c r="V100" s="40"/>
      <c r="W100" s="40"/>
      <c r="X100" s="27"/>
      <c r="Y100" s="40"/>
      <c r="Z100" s="39"/>
      <c r="AA100" s="40"/>
      <c r="AB100" s="40"/>
      <c r="AC100" s="40"/>
      <c r="AD100" s="40"/>
      <c r="AE100" s="27"/>
      <c r="AF100" s="205" t="str">
        <f t="shared" ca="1" si="34"/>
        <v/>
      </c>
      <c r="AG100" s="228"/>
      <c r="AH100" s="238">
        <f t="shared" si="35"/>
        <v>0</v>
      </c>
      <c r="AI100" s="261"/>
      <c r="AJ100" s="224"/>
      <c r="AK100" s="245">
        <f ca="1">IF(EB.Anwendung&lt;&gt;"",IF(MONTH(Monat.Tag1)=1,0,IF(MONTH(Monat.Tag1)=2,January!Monat.P4UeVM,IF(MONTH(Monat.Tag1)=3,February!Monat.P4UeVM,IF(MONTH(Monat.Tag1)=4,March!Monat.P4UeVM,IF(MONTH(Monat.Tag1)=5,April!Monat.P4UeVM,IF(MONTH(Monat.Tag1)=6,May!Monat.P4UeVM,IF(MONTH(Monat.Tag1)=7,June!Monat.P4UeVM,IF(MONTH(Monat.Tag1)=8,July!Monat.P4UeVM,IF(MONTH(Monat.Tag1)=9,August!Monat.P4UeVM,IF(MONTH(Monat.Tag1)=10,September!Monat.P4UeVM,IF(MONTH(Monat.Tag1)=11,October!Monat.P4UeVM,IF(MONTH(Monat.Tag1)=12,November!Monat.P4UeVM,"")))))))))))),"")</f>
        <v>0</v>
      </c>
      <c r="AL100" s="209"/>
      <c r="AM100" s="246">
        <f t="shared" ca="1" si="36"/>
        <v>0</v>
      </c>
      <c r="AN100" s="208"/>
      <c r="AO100" s="208"/>
      <c r="AP100" s="119"/>
    </row>
    <row r="101" spans="1:42" s="38" customFormat="1" ht="15" customHeight="1" x14ac:dyDescent="0.2">
      <c r="A101" s="215" t="str">
        <f t="shared" ca="1" si="33"/>
        <v/>
      </c>
      <c r="B101" s="40"/>
      <c r="C101" s="40"/>
      <c r="D101" s="40"/>
      <c r="E101" s="27"/>
      <c r="F101" s="40"/>
      <c r="G101" s="40"/>
      <c r="H101" s="40"/>
      <c r="I101" s="40"/>
      <c r="J101" s="27"/>
      <c r="K101" s="40"/>
      <c r="L101" s="27"/>
      <c r="M101" s="40"/>
      <c r="N101" s="40"/>
      <c r="O101" s="40"/>
      <c r="P101" s="40"/>
      <c r="Q101" s="27"/>
      <c r="R101" s="40"/>
      <c r="S101" s="27"/>
      <c r="T101" s="27"/>
      <c r="U101" s="40"/>
      <c r="V101" s="40"/>
      <c r="W101" s="40"/>
      <c r="X101" s="27"/>
      <c r="Y101" s="40"/>
      <c r="Z101" s="39"/>
      <c r="AA101" s="40"/>
      <c r="AB101" s="40"/>
      <c r="AC101" s="40"/>
      <c r="AD101" s="40"/>
      <c r="AE101" s="27"/>
      <c r="AF101" s="205" t="str">
        <f t="shared" ca="1" si="34"/>
        <v/>
      </c>
      <c r="AG101" s="218"/>
      <c r="AH101" s="238">
        <f t="shared" si="35"/>
        <v>0</v>
      </c>
      <c r="AI101" s="261"/>
      <c r="AJ101" s="224"/>
      <c r="AK101" s="245">
        <f ca="1">IF(EB.Anwendung&lt;&gt;"",IF(MONTH(Monat.Tag1)=1,0,IF(MONTH(Monat.Tag1)=2,January!Monat.P5UeVM,IF(MONTH(Monat.Tag1)=3,February!Monat.P5UeVM,IF(MONTH(Monat.Tag1)=4,March!Monat.P5UeVM,IF(MONTH(Monat.Tag1)=5,April!Monat.P5UeVM,IF(MONTH(Monat.Tag1)=6,May!Monat.P5UeVM,IF(MONTH(Monat.Tag1)=7,June!Monat.P5UeVM,IF(MONTH(Monat.Tag1)=8,July!Monat.P5UeVM,IF(MONTH(Monat.Tag1)=9,August!Monat.P5UeVM,IF(MONTH(Monat.Tag1)=10,September!Monat.P5UeVM,IF(MONTH(Monat.Tag1)=11,October!Monat.P5UeVM,IF(MONTH(Monat.Tag1)=12,November!Monat.P5UeVM,"")))))))))))),"")</f>
        <v>0</v>
      </c>
      <c r="AL101" s="209"/>
      <c r="AM101" s="246">
        <f t="shared" ca="1" si="36"/>
        <v>0</v>
      </c>
      <c r="AN101" s="208"/>
      <c r="AO101" s="208"/>
      <c r="AP101" s="119"/>
    </row>
    <row r="102" spans="1:42" s="38" customFormat="1" ht="15" hidden="1" customHeight="1" outlineLevel="1" x14ac:dyDescent="0.2">
      <c r="A102" s="215" t="str">
        <f t="shared" ca="1" si="33"/>
        <v/>
      </c>
      <c r="B102" s="40"/>
      <c r="C102" s="40"/>
      <c r="D102" s="40"/>
      <c r="E102" s="27"/>
      <c r="F102" s="40"/>
      <c r="G102" s="40"/>
      <c r="H102" s="40"/>
      <c r="I102" s="40"/>
      <c r="J102" s="27"/>
      <c r="K102" s="40"/>
      <c r="L102" s="27"/>
      <c r="M102" s="40"/>
      <c r="N102" s="40"/>
      <c r="O102" s="40"/>
      <c r="P102" s="40"/>
      <c r="Q102" s="27"/>
      <c r="R102" s="40"/>
      <c r="S102" s="27"/>
      <c r="T102" s="27"/>
      <c r="U102" s="40"/>
      <c r="V102" s="40"/>
      <c r="W102" s="40"/>
      <c r="X102" s="27"/>
      <c r="Y102" s="40"/>
      <c r="Z102" s="39"/>
      <c r="AA102" s="40"/>
      <c r="AB102" s="40"/>
      <c r="AC102" s="40"/>
      <c r="AD102" s="40"/>
      <c r="AE102" s="27"/>
      <c r="AF102" s="205" t="str">
        <f t="shared" ca="1" si="34"/>
        <v/>
      </c>
      <c r="AG102" s="286"/>
      <c r="AH102" s="238">
        <f t="shared" si="35"/>
        <v>0</v>
      </c>
      <c r="AI102" s="261"/>
      <c r="AJ102" s="224"/>
      <c r="AK102" s="245">
        <f ca="1">IF(EB.Anwendung&lt;&gt;"",IF(MONTH(Monat.Tag1)=1,0,IF(MONTH(Monat.Tag1)=2,January!Monat.P6UeVM,IF(MONTH(Monat.Tag1)=3,February!Monat.P6UeVM,IF(MONTH(Monat.Tag1)=4,March!Monat.P6UeVM,IF(MONTH(Monat.Tag1)=5,April!Monat.P6UeVM,IF(MONTH(Monat.Tag1)=6,May!Monat.P6UeVM,IF(MONTH(Monat.Tag1)=7,June!Monat.P6UeVM,IF(MONTH(Monat.Tag1)=8,July!Monat.P6UeVM,IF(MONTH(Monat.Tag1)=9,August!Monat.P6UeVM,IF(MONTH(Monat.Tag1)=10,September!Monat.P6UeVM,IF(MONTH(Monat.Tag1)=11,October!Monat.P6UeVM,IF(MONTH(Monat.Tag1)=12,November!Monat.P6UeVM,"")))))))))))),"")</f>
        <v>0</v>
      </c>
      <c r="AL102" s="209"/>
      <c r="AM102" s="246">
        <f t="shared" ca="1" si="36"/>
        <v>0</v>
      </c>
      <c r="AN102" s="208"/>
      <c r="AO102" s="208"/>
      <c r="AP102" s="119"/>
    </row>
    <row r="103" spans="1:42" s="38" customFormat="1" ht="15" hidden="1" customHeight="1" outlineLevel="1" x14ac:dyDescent="0.2">
      <c r="A103" s="215" t="str">
        <f t="shared" ca="1" si="33"/>
        <v/>
      </c>
      <c r="B103" s="40"/>
      <c r="C103" s="40"/>
      <c r="D103" s="40"/>
      <c r="E103" s="27"/>
      <c r="F103" s="40"/>
      <c r="G103" s="40"/>
      <c r="H103" s="40"/>
      <c r="I103" s="40"/>
      <c r="J103" s="27"/>
      <c r="K103" s="40"/>
      <c r="L103" s="27"/>
      <c r="M103" s="40"/>
      <c r="N103" s="40"/>
      <c r="O103" s="40"/>
      <c r="P103" s="40"/>
      <c r="Q103" s="27"/>
      <c r="R103" s="40"/>
      <c r="S103" s="27"/>
      <c r="T103" s="27"/>
      <c r="U103" s="40"/>
      <c r="V103" s="40"/>
      <c r="W103" s="40"/>
      <c r="X103" s="27"/>
      <c r="Y103" s="40"/>
      <c r="Z103" s="39"/>
      <c r="AA103" s="40"/>
      <c r="AB103" s="40"/>
      <c r="AC103" s="40"/>
      <c r="AD103" s="40"/>
      <c r="AE103" s="27"/>
      <c r="AF103" s="205" t="str">
        <f t="shared" ca="1" si="34"/>
        <v/>
      </c>
      <c r="AG103" s="228"/>
      <c r="AH103" s="238">
        <f t="shared" si="35"/>
        <v>0</v>
      </c>
      <c r="AI103" s="261"/>
      <c r="AJ103" s="224"/>
      <c r="AK103" s="245">
        <f ca="1">IF(EB.Anwendung&lt;&gt;"",IF(MONTH(Monat.Tag1)=1,0,IF(MONTH(Monat.Tag1)=2,January!Monat.P7UeVM,IF(MONTH(Monat.Tag1)=3,February!Monat.P7UeVM,IF(MONTH(Monat.Tag1)=4,March!Monat.P7UeVM,IF(MONTH(Monat.Tag1)=5,April!Monat.P7UeVM,IF(MONTH(Monat.Tag1)=6,May!Monat.P7UeVM,IF(MONTH(Monat.Tag1)=7,June!Monat.P7UeVM,IF(MONTH(Monat.Tag1)=8,July!Monat.P7UeVM,IF(MONTH(Monat.Tag1)=9,August!Monat.P7UeVM,IF(MONTH(Monat.Tag1)=10,September!Monat.P7UeVM,IF(MONTH(Monat.Tag1)=11,October!Monat.P7UeVM,IF(MONTH(Monat.Tag1)=12,November!Monat.P7UeVM,"")))))))))))),"")</f>
        <v>0</v>
      </c>
      <c r="AL103" s="209"/>
      <c r="AM103" s="246">
        <f t="shared" ca="1" si="36"/>
        <v>0</v>
      </c>
      <c r="AN103" s="208"/>
      <c r="AO103" s="208"/>
      <c r="AP103" s="119"/>
    </row>
    <row r="104" spans="1:42" s="38" customFormat="1" ht="15" hidden="1" customHeight="1" outlineLevel="1" x14ac:dyDescent="0.2">
      <c r="A104" s="215" t="str">
        <f t="shared" ca="1" si="33"/>
        <v/>
      </c>
      <c r="B104" s="40"/>
      <c r="C104" s="40"/>
      <c r="D104" s="40"/>
      <c r="E104" s="27"/>
      <c r="F104" s="40"/>
      <c r="G104" s="40"/>
      <c r="H104" s="40"/>
      <c r="I104" s="40"/>
      <c r="J104" s="27"/>
      <c r="K104" s="40"/>
      <c r="L104" s="27"/>
      <c r="M104" s="40"/>
      <c r="N104" s="40"/>
      <c r="O104" s="40"/>
      <c r="P104" s="40"/>
      <c r="Q104" s="27"/>
      <c r="R104" s="40"/>
      <c r="S104" s="27"/>
      <c r="T104" s="27"/>
      <c r="U104" s="40"/>
      <c r="V104" s="40"/>
      <c r="W104" s="40"/>
      <c r="X104" s="27"/>
      <c r="Y104" s="40"/>
      <c r="Z104" s="39"/>
      <c r="AA104" s="40"/>
      <c r="AB104" s="40"/>
      <c r="AC104" s="40"/>
      <c r="AD104" s="40"/>
      <c r="AE104" s="27"/>
      <c r="AF104" s="205" t="str">
        <f t="shared" ca="1" si="34"/>
        <v/>
      </c>
      <c r="AG104" s="233"/>
      <c r="AH104" s="238">
        <f t="shared" si="35"/>
        <v>0</v>
      </c>
      <c r="AI104" s="261"/>
      <c r="AJ104" s="224"/>
      <c r="AK104" s="245">
        <f ca="1">IF(EB.Anwendung&lt;&gt;"",IF(MONTH(Monat.Tag1)=1,0,IF(MONTH(Monat.Tag1)=2,January!Monat.P8UeVM,IF(MONTH(Monat.Tag1)=3,February!Monat.P8UeVM,IF(MONTH(Monat.Tag1)=4,March!Monat.P8UeVM,IF(MONTH(Monat.Tag1)=5,April!Monat.P8UeVM,IF(MONTH(Monat.Tag1)=6,May!Monat.P8UeVM,IF(MONTH(Monat.Tag1)=7,June!Monat.P8UeVM,IF(MONTH(Monat.Tag1)=8,July!Monat.P8UeVM,IF(MONTH(Monat.Tag1)=9,August!Monat.P8UeVM,IF(MONTH(Monat.Tag1)=10,September!Monat.P8UeVM,IF(MONTH(Monat.Tag1)=11,October!Monat.P8UeVM,IF(MONTH(Monat.Tag1)=12,November!Monat.P8UeVM,"")))))))))))),"")</f>
        <v>0</v>
      </c>
      <c r="AL104" s="209"/>
      <c r="AM104" s="246">
        <f t="shared" ca="1" si="36"/>
        <v>0</v>
      </c>
      <c r="AN104" s="208"/>
      <c r="AO104" s="208"/>
      <c r="AP104" s="119"/>
    </row>
    <row r="105" spans="1:42" s="38" customFormat="1" ht="15" hidden="1" customHeight="1" outlineLevel="1" x14ac:dyDescent="0.2">
      <c r="A105" s="215" t="str">
        <f t="shared" ca="1" si="33"/>
        <v/>
      </c>
      <c r="B105" s="40"/>
      <c r="C105" s="40"/>
      <c r="D105" s="40"/>
      <c r="E105" s="27"/>
      <c r="F105" s="40"/>
      <c r="G105" s="40"/>
      <c r="H105" s="40"/>
      <c r="I105" s="40"/>
      <c r="J105" s="27"/>
      <c r="K105" s="40"/>
      <c r="L105" s="27"/>
      <c r="M105" s="40"/>
      <c r="N105" s="40"/>
      <c r="O105" s="40"/>
      <c r="P105" s="40"/>
      <c r="Q105" s="27"/>
      <c r="R105" s="40"/>
      <c r="S105" s="27"/>
      <c r="T105" s="27"/>
      <c r="U105" s="40"/>
      <c r="V105" s="40"/>
      <c r="W105" s="40"/>
      <c r="X105" s="27"/>
      <c r="Y105" s="40"/>
      <c r="Z105" s="39"/>
      <c r="AA105" s="40"/>
      <c r="AB105" s="40"/>
      <c r="AC105" s="40"/>
      <c r="AD105" s="40"/>
      <c r="AE105" s="27"/>
      <c r="AF105" s="205" t="str">
        <f t="shared" ca="1" si="34"/>
        <v/>
      </c>
      <c r="AG105" s="218"/>
      <c r="AH105" s="238">
        <f t="shared" si="35"/>
        <v>0</v>
      </c>
      <c r="AI105" s="261"/>
      <c r="AJ105" s="224"/>
      <c r="AK105" s="245">
        <f ca="1">IF(EB.Anwendung&lt;&gt;"",IF(MONTH(Monat.Tag1)=1,0,IF(MONTH(Monat.Tag1)=2,January!Monat.P9UeVM,IF(MONTH(Monat.Tag1)=3,February!Monat.P9UeVM,IF(MONTH(Monat.Tag1)=4,March!Monat.P9UeVM,IF(MONTH(Monat.Tag1)=5,April!Monat.P9UeVM,IF(MONTH(Monat.Tag1)=6,May!Monat.P9UeVM,IF(MONTH(Monat.Tag1)=7,June!Monat.P9UeVM,IF(MONTH(Monat.Tag1)=8,July!Monat.P9UeVM,IF(MONTH(Monat.Tag1)=9,August!Monat.P9UeVM,IF(MONTH(Monat.Tag1)=10,September!Monat.P9UeVM,IF(MONTH(Monat.Tag1)=11,October!Monat.P9UeVM,IF(MONTH(Monat.Tag1)=12,November!Monat.P9UeVM,"")))))))))))),"")</f>
        <v>0</v>
      </c>
      <c r="AL105" s="209"/>
      <c r="AM105" s="246">
        <f t="shared" ca="1" si="36"/>
        <v>0</v>
      </c>
      <c r="AN105" s="208"/>
      <c r="AO105" s="208"/>
      <c r="AP105" s="119"/>
    </row>
    <row r="106" spans="1:42" s="38" customFormat="1" ht="15" hidden="1" customHeight="1" outlineLevel="1" x14ac:dyDescent="0.2">
      <c r="A106" s="215" t="str">
        <f t="shared" ca="1" si="33"/>
        <v/>
      </c>
      <c r="B106" s="40"/>
      <c r="C106" s="40"/>
      <c r="D106" s="40"/>
      <c r="E106" s="27"/>
      <c r="F106" s="40"/>
      <c r="G106" s="40"/>
      <c r="H106" s="40"/>
      <c r="I106" s="40"/>
      <c r="J106" s="27"/>
      <c r="K106" s="40"/>
      <c r="L106" s="27"/>
      <c r="M106" s="40"/>
      <c r="N106" s="40"/>
      <c r="O106" s="40"/>
      <c r="P106" s="40"/>
      <c r="Q106" s="27"/>
      <c r="R106" s="40"/>
      <c r="S106" s="27"/>
      <c r="T106" s="27"/>
      <c r="U106" s="40"/>
      <c r="V106" s="40"/>
      <c r="W106" s="40"/>
      <c r="X106" s="27"/>
      <c r="Y106" s="40"/>
      <c r="Z106" s="39"/>
      <c r="AA106" s="40"/>
      <c r="AB106" s="40"/>
      <c r="AC106" s="40"/>
      <c r="AD106" s="40"/>
      <c r="AE106" s="27"/>
      <c r="AF106" s="205" t="str">
        <f t="shared" ca="1" si="34"/>
        <v/>
      </c>
      <c r="AG106" s="218"/>
      <c r="AH106" s="238">
        <f t="shared" si="35"/>
        <v>0</v>
      </c>
      <c r="AI106" s="261"/>
      <c r="AJ106" s="224"/>
      <c r="AK106" s="245">
        <f ca="1">IF(EB.Anwendung&lt;&gt;"",IF(MONTH(Monat.Tag1)=1,0,IF(MONTH(Monat.Tag1)=2,January!Monat.P10UeVM,IF(MONTH(Monat.Tag1)=3,February!Monat.P10UeVM,IF(MONTH(Monat.Tag1)=4,March!Monat.P10UeVM,IF(MONTH(Monat.Tag1)=5,April!Monat.P10UeVM,IF(MONTH(Monat.Tag1)=6,May!Monat.P10UeVM,IF(MONTH(Monat.Tag1)=7,June!Monat.P10UeVM,IF(MONTH(Monat.Tag1)=8,July!Monat.P10UeVM,IF(MONTH(Monat.Tag1)=9,August!Monat.P10UeVM,IF(MONTH(Monat.Tag1)=10,September!Monat.P10UeVM,IF(MONTH(Monat.Tag1)=11,October!Monat.P10UeVM,IF(MONTH(Monat.Tag1)=12,November!Monat.P10UeVM,"")))))))))))),"")</f>
        <v>0</v>
      </c>
      <c r="AL106" s="209"/>
      <c r="AM106" s="246">
        <f t="shared" ca="1" si="36"/>
        <v>0</v>
      </c>
      <c r="AN106" s="208"/>
      <c r="AO106" s="208"/>
      <c r="AP106" s="119"/>
    </row>
    <row r="107" spans="1:42" s="38" customFormat="1" ht="15" hidden="1" customHeight="1" outlineLevel="1" x14ac:dyDescent="0.2">
      <c r="A107" s="215" t="str">
        <f t="shared" ca="1" si="33"/>
        <v/>
      </c>
      <c r="B107" s="40"/>
      <c r="C107" s="40"/>
      <c r="D107" s="40"/>
      <c r="E107" s="27"/>
      <c r="F107" s="40"/>
      <c r="G107" s="40"/>
      <c r="H107" s="40"/>
      <c r="I107" s="40"/>
      <c r="J107" s="27"/>
      <c r="K107" s="40"/>
      <c r="L107" s="27"/>
      <c r="M107" s="40"/>
      <c r="N107" s="40"/>
      <c r="O107" s="40"/>
      <c r="P107" s="40"/>
      <c r="Q107" s="27"/>
      <c r="R107" s="40"/>
      <c r="S107" s="27"/>
      <c r="T107" s="27"/>
      <c r="U107" s="40"/>
      <c r="V107" s="40"/>
      <c r="W107" s="40"/>
      <c r="X107" s="27"/>
      <c r="Y107" s="40"/>
      <c r="Z107" s="39"/>
      <c r="AA107" s="40"/>
      <c r="AB107" s="40"/>
      <c r="AC107" s="40"/>
      <c r="AD107" s="40"/>
      <c r="AE107" s="27"/>
      <c r="AF107" s="205" t="str">
        <f t="shared" ca="1" si="34"/>
        <v/>
      </c>
      <c r="AG107" s="233"/>
      <c r="AH107" s="238">
        <f t="shared" si="35"/>
        <v>0</v>
      </c>
      <c r="AI107" s="261"/>
      <c r="AJ107" s="224"/>
      <c r="AK107" s="245">
        <f ca="1">IF(EB.Anwendung&lt;&gt;"",IF(MONTH(Monat.Tag1)=1,0,IF(MONTH(Monat.Tag1)=2,January!Monat.P11UeVM,IF(MONTH(Monat.Tag1)=3,February!Monat.P11UeVM,IF(MONTH(Monat.Tag1)=4,March!Monat.P11UeVM,IF(MONTH(Monat.Tag1)=5,April!Monat.P11UeVM,IF(MONTH(Monat.Tag1)=6,May!Monat.P11UeVM,IF(MONTH(Monat.Tag1)=7,June!Monat.P11UeVM,IF(MONTH(Monat.Tag1)=8,July!Monat.P11UeVM,IF(MONTH(Monat.Tag1)=9,August!Monat.P11UeVM,IF(MONTH(Monat.Tag1)=10,September!Monat.P11UeVM,IF(MONTH(Monat.Tag1)=11,October!Monat.P11UeVM,IF(MONTH(Monat.Tag1)=12,November!Monat.P11UeVM,"")))))))))))),"")</f>
        <v>0</v>
      </c>
      <c r="AL107" s="209"/>
      <c r="AM107" s="246">
        <f t="shared" ca="1" si="36"/>
        <v>0</v>
      </c>
      <c r="AN107" s="287"/>
      <c r="AO107" s="287"/>
      <c r="AP107" s="119"/>
    </row>
    <row r="108" spans="1:42" s="49" customFormat="1" ht="15" hidden="1" customHeight="1" outlineLevel="1" x14ac:dyDescent="0.2">
      <c r="A108" s="215" t="str">
        <f t="shared" ca="1" si="33"/>
        <v/>
      </c>
      <c r="B108" s="40"/>
      <c r="C108" s="40"/>
      <c r="D108" s="40"/>
      <c r="E108" s="27"/>
      <c r="F108" s="40"/>
      <c r="G108" s="40"/>
      <c r="H108" s="40"/>
      <c r="I108" s="40"/>
      <c r="J108" s="27"/>
      <c r="K108" s="40"/>
      <c r="L108" s="27"/>
      <c r="M108" s="40"/>
      <c r="N108" s="40"/>
      <c r="O108" s="40"/>
      <c r="P108" s="40"/>
      <c r="Q108" s="27"/>
      <c r="R108" s="40"/>
      <c r="S108" s="27"/>
      <c r="T108" s="27"/>
      <c r="U108" s="40"/>
      <c r="V108" s="40"/>
      <c r="W108" s="40"/>
      <c r="X108" s="27"/>
      <c r="Y108" s="40"/>
      <c r="Z108" s="39"/>
      <c r="AA108" s="40"/>
      <c r="AB108" s="40"/>
      <c r="AC108" s="40"/>
      <c r="AD108" s="40"/>
      <c r="AE108" s="27"/>
      <c r="AF108" s="205" t="str">
        <f t="shared" ca="1" si="34"/>
        <v/>
      </c>
      <c r="AG108" s="233"/>
      <c r="AH108" s="238">
        <f t="shared" si="35"/>
        <v>0</v>
      </c>
      <c r="AI108" s="261"/>
      <c r="AJ108" s="224"/>
      <c r="AK108" s="245">
        <f ca="1">IF(EB.Anwendung&lt;&gt;"",IF(MONTH(Monat.Tag1)=1,0,IF(MONTH(Monat.Tag1)=2,January!Monat.P12UeVM,IF(MONTH(Monat.Tag1)=3,February!Monat.P12UeVM,IF(MONTH(Monat.Tag1)=4,March!Monat.P12UeVM,IF(MONTH(Monat.Tag1)=5,April!Monat.P12UeVM,IF(MONTH(Monat.Tag1)=6,May!Monat.P12UeVM,IF(MONTH(Monat.Tag1)=7,June!Monat.P12UeVM,IF(MONTH(Monat.Tag1)=8,July!Monat.P12UeVM,IF(MONTH(Monat.Tag1)=9,August!Monat.P12UeVM,IF(MONTH(Monat.Tag1)=10,September!Monat.P12UeVM,IF(MONTH(Monat.Tag1)=11,October!Monat.P12UeVM,IF(MONTH(Monat.Tag1)=12,November!Monat.P12UeVM,"")))))))))))),"")</f>
        <v>0</v>
      </c>
      <c r="AL108" s="209"/>
      <c r="AM108" s="246">
        <f t="shared" ca="1" si="36"/>
        <v>0</v>
      </c>
      <c r="AN108" s="287"/>
      <c r="AO108" s="287"/>
      <c r="AP108" s="288"/>
    </row>
    <row r="109" spans="1:42" s="49" customFormat="1" ht="15" hidden="1" customHeight="1" outlineLevel="1" x14ac:dyDescent="0.2">
      <c r="A109" s="215" t="str">
        <f t="shared" ca="1" si="33"/>
        <v/>
      </c>
      <c r="B109" s="40"/>
      <c r="C109" s="40"/>
      <c r="D109" s="40"/>
      <c r="E109" s="27"/>
      <c r="F109" s="40"/>
      <c r="G109" s="40"/>
      <c r="H109" s="40"/>
      <c r="I109" s="40"/>
      <c r="J109" s="27"/>
      <c r="K109" s="40"/>
      <c r="L109" s="27"/>
      <c r="M109" s="40"/>
      <c r="N109" s="40"/>
      <c r="O109" s="40"/>
      <c r="P109" s="40"/>
      <c r="Q109" s="27"/>
      <c r="R109" s="40"/>
      <c r="S109" s="27"/>
      <c r="T109" s="27"/>
      <c r="U109" s="40"/>
      <c r="V109" s="40"/>
      <c r="W109" s="40"/>
      <c r="X109" s="27"/>
      <c r="Y109" s="40"/>
      <c r="Z109" s="39"/>
      <c r="AA109" s="40"/>
      <c r="AB109" s="40"/>
      <c r="AC109" s="40"/>
      <c r="AD109" s="40"/>
      <c r="AE109" s="27"/>
      <c r="AF109" s="205" t="str">
        <f t="shared" ca="1" si="34"/>
        <v/>
      </c>
      <c r="AG109" s="218"/>
      <c r="AH109" s="238">
        <f t="shared" si="35"/>
        <v>0</v>
      </c>
      <c r="AI109" s="261"/>
      <c r="AJ109" s="224"/>
      <c r="AK109" s="245">
        <f ca="1">IF(EB.Anwendung&lt;&gt;"",IF(MONTH(Monat.Tag1)=1,0,IF(MONTH(Monat.Tag1)=2,January!Monat.P13UeVM,IF(MONTH(Monat.Tag1)=3,February!Monat.P13UeVM,IF(MONTH(Monat.Tag1)=4,March!Monat.P13UeVM,IF(MONTH(Monat.Tag1)=5,April!Monat.P13UeVM,IF(MONTH(Monat.Tag1)=6,May!Monat.P13UeVM,IF(MONTH(Monat.Tag1)=7,June!Monat.P13UeVM,IF(MONTH(Monat.Tag1)=8,July!Monat.P13UeVM,IF(MONTH(Monat.Tag1)=9,August!Monat.P13UeVM,IF(MONTH(Monat.Tag1)=10,September!Monat.P13UeVM,IF(MONTH(Monat.Tag1)=11,October!Monat.P13UeVM,IF(MONTH(Monat.Tag1)=12,November!Monat.P13UeVM,"")))))))))))),"")</f>
        <v>0</v>
      </c>
      <c r="AL109" s="209"/>
      <c r="AM109" s="246">
        <f t="shared" ca="1" si="36"/>
        <v>0</v>
      </c>
      <c r="AN109" s="287"/>
      <c r="AO109" s="287"/>
      <c r="AP109" s="288"/>
    </row>
    <row r="110" spans="1:42" ht="15" hidden="1" customHeight="1" outlineLevel="1" x14ac:dyDescent="0.2">
      <c r="A110" s="215" t="str">
        <f t="shared" ca="1" si="33"/>
        <v/>
      </c>
      <c r="B110" s="40"/>
      <c r="C110" s="40"/>
      <c r="D110" s="40"/>
      <c r="E110" s="27"/>
      <c r="F110" s="40"/>
      <c r="G110" s="40"/>
      <c r="H110" s="40"/>
      <c r="I110" s="40"/>
      <c r="J110" s="27"/>
      <c r="K110" s="40"/>
      <c r="L110" s="27"/>
      <c r="M110" s="40"/>
      <c r="N110" s="40"/>
      <c r="O110" s="40"/>
      <c r="P110" s="40"/>
      <c r="Q110" s="27"/>
      <c r="R110" s="40"/>
      <c r="S110" s="27"/>
      <c r="T110" s="27"/>
      <c r="U110" s="40"/>
      <c r="V110" s="40"/>
      <c r="W110" s="40"/>
      <c r="X110" s="27"/>
      <c r="Y110" s="40"/>
      <c r="Z110" s="39"/>
      <c r="AA110" s="40"/>
      <c r="AB110" s="40"/>
      <c r="AC110" s="40"/>
      <c r="AD110" s="40"/>
      <c r="AE110" s="27"/>
      <c r="AF110" s="205" t="str">
        <f t="shared" ca="1" si="34"/>
        <v/>
      </c>
      <c r="AG110" s="218"/>
      <c r="AH110" s="238">
        <f t="shared" si="35"/>
        <v>0</v>
      </c>
      <c r="AI110" s="261"/>
      <c r="AJ110" s="224"/>
      <c r="AK110" s="245">
        <f ca="1">IF(EB.Anwendung&lt;&gt;"",IF(MONTH(Monat.Tag1)=1,0,IF(MONTH(Monat.Tag1)=2,January!Monat.P14UeVM,IF(MONTH(Monat.Tag1)=3,February!Monat.P14UeVM,IF(MONTH(Monat.Tag1)=4,March!Monat.P14UeVM,IF(MONTH(Monat.Tag1)=5,April!Monat.P14UeVM,IF(MONTH(Monat.Tag1)=6,May!Monat.P14UeVM,IF(MONTH(Monat.Tag1)=7,June!Monat.P14UeVM,IF(MONTH(Monat.Tag1)=8,July!Monat.P14UeVM,IF(MONTH(Monat.Tag1)=9,August!Monat.P14UeVM,IF(MONTH(Monat.Tag1)=10,September!Monat.P14UeVM,IF(MONTH(Monat.Tag1)=11,October!Monat.P14UeVM,IF(MONTH(Monat.Tag1)=12,November!Monat.P14UeVM,"")))))))))))),"")</f>
        <v>0</v>
      </c>
      <c r="AL110" s="209"/>
      <c r="AM110" s="246">
        <f t="shared" ca="1" si="36"/>
        <v>0</v>
      </c>
      <c r="AN110" s="287"/>
      <c r="AO110" s="287"/>
      <c r="AP110" s="123"/>
    </row>
    <row r="111" spans="1:42" ht="15" hidden="1" customHeight="1" outlineLevel="1" x14ac:dyDescent="0.2">
      <c r="A111" s="215" t="str">
        <f t="shared" ca="1" si="33"/>
        <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7"/>
      <c r="AA111" s="40"/>
      <c r="AB111" s="40"/>
      <c r="AC111" s="40"/>
      <c r="AD111" s="40"/>
      <c r="AE111" s="40"/>
      <c r="AF111" s="205" t="str">
        <f t="shared" ca="1" si="34"/>
        <v/>
      </c>
      <c r="AG111" s="218"/>
      <c r="AH111" s="238">
        <f t="shared" si="35"/>
        <v>0</v>
      </c>
      <c r="AI111" s="261"/>
      <c r="AJ111" s="224"/>
      <c r="AK111" s="245">
        <f ca="1">IF(EB.Anwendung&lt;&gt;"",IF(MONTH(Monat.Tag1)=1,0,IF(MONTH(Monat.Tag1)=2,January!Monat.P15UeVM,IF(MONTH(Monat.Tag1)=3,February!Monat.P15UeVM,IF(MONTH(Monat.Tag1)=4,March!Monat.P15UeVM,IF(MONTH(Monat.Tag1)=5,April!Monat.P15UeVM,IF(MONTH(Monat.Tag1)=6,May!Monat.P15UeVM,IF(MONTH(Monat.Tag1)=7,June!Monat.P15UeVM,IF(MONTH(Monat.Tag1)=8,July!Monat.P15UeVM,IF(MONTH(Monat.Tag1)=9,August!Monat.P15UeVM,IF(MONTH(Monat.Tag1)=10,September!Monat.P15UeVM,IF(MONTH(Monat.Tag1)=11,October!Monat.P15UeVM,IF(MONTH(Monat.Tag1)=12,November!Monat.P15UeVM,"")))))))))))),"")</f>
        <v>0</v>
      </c>
      <c r="AL111" s="209"/>
      <c r="AM111" s="246">
        <f t="shared" ca="1" si="36"/>
        <v>0</v>
      </c>
      <c r="AN111" s="287"/>
      <c r="AO111" s="287"/>
      <c r="AP111" s="123"/>
    </row>
    <row r="112" spans="1:42" ht="15" customHeight="1" collapsed="1" x14ac:dyDescent="0.2">
      <c r="A112" s="215" t="s">
        <v>168</v>
      </c>
      <c r="B112" s="236">
        <f>SUM(B97:B111)</f>
        <v>0</v>
      </c>
      <c r="C112" s="236">
        <f t="shared" ref="C112:AE112" si="37">SUM(C97:C111)</f>
        <v>0</v>
      </c>
      <c r="D112" s="236">
        <f t="shared" si="37"/>
        <v>0</v>
      </c>
      <c r="E112" s="236">
        <f t="shared" si="37"/>
        <v>0</v>
      </c>
      <c r="F112" s="236">
        <f t="shared" si="37"/>
        <v>0</v>
      </c>
      <c r="G112" s="236">
        <f t="shared" si="37"/>
        <v>0</v>
      </c>
      <c r="H112" s="236">
        <f t="shared" si="37"/>
        <v>0</v>
      </c>
      <c r="I112" s="236">
        <f t="shared" si="37"/>
        <v>0</v>
      </c>
      <c r="J112" s="236">
        <f t="shared" si="37"/>
        <v>0</v>
      </c>
      <c r="K112" s="236">
        <f t="shared" si="37"/>
        <v>0</v>
      </c>
      <c r="L112" s="236">
        <f t="shared" si="37"/>
        <v>0</v>
      </c>
      <c r="M112" s="236">
        <f t="shared" si="37"/>
        <v>0</v>
      </c>
      <c r="N112" s="236">
        <f t="shared" si="37"/>
        <v>0</v>
      </c>
      <c r="O112" s="236">
        <f t="shared" si="37"/>
        <v>0</v>
      </c>
      <c r="P112" s="236">
        <f t="shared" si="37"/>
        <v>0</v>
      </c>
      <c r="Q112" s="236">
        <f t="shared" si="37"/>
        <v>0</v>
      </c>
      <c r="R112" s="236">
        <f t="shared" si="37"/>
        <v>0</v>
      </c>
      <c r="S112" s="236">
        <f t="shared" si="37"/>
        <v>0</v>
      </c>
      <c r="T112" s="236">
        <f t="shared" si="37"/>
        <v>0</v>
      </c>
      <c r="U112" s="236">
        <f t="shared" si="37"/>
        <v>0</v>
      </c>
      <c r="V112" s="236">
        <f t="shared" si="37"/>
        <v>0</v>
      </c>
      <c r="W112" s="236">
        <f t="shared" si="37"/>
        <v>0</v>
      </c>
      <c r="X112" s="236">
        <f t="shared" si="37"/>
        <v>0</v>
      </c>
      <c r="Y112" s="236">
        <f t="shared" si="37"/>
        <v>0</v>
      </c>
      <c r="Z112" s="236">
        <f t="shared" si="37"/>
        <v>0</v>
      </c>
      <c r="AA112" s="236">
        <f t="shared" si="37"/>
        <v>0</v>
      </c>
      <c r="AB112" s="236">
        <f t="shared" si="37"/>
        <v>0</v>
      </c>
      <c r="AC112" s="236">
        <f t="shared" si="37"/>
        <v>0</v>
      </c>
      <c r="AD112" s="236">
        <f t="shared" si="37"/>
        <v>0</v>
      </c>
      <c r="AE112" s="236">
        <f t="shared" si="37"/>
        <v>0</v>
      </c>
      <c r="AF112" s="217" t="str">
        <f t="shared" si="34"/>
        <v>Hours worked for projects</v>
      </c>
      <c r="AG112" s="218"/>
      <c r="AH112" s="238">
        <f t="shared" si="35"/>
        <v>0</v>
      </c>
      <c r="AI112" s="261"/>
      <c r="AJ112" s="224"/>
      <c r="AK112" s="245">
        <f ca="1">IF(EB.Anwendung&lt;&gt;"",IF(MONTH(Monat.Tag1)=1,0,IF(MONTH(Monat.Tag1)=2,January!Monat.PTotalUeVM,IF(MONTH(Monat.Tag1)=3,February!Monat.PTotalUeVM,IF(MONTH(Monat.Tag1)=4,March!Monat.PTotalUeVM,IF(MONTH(Monat.Tag1)=5,April!Monat.PTotalUeVM,IF(MONTH(Monat.Tag1)=6,May!Monat.PTotalUeVM,IF(MONTH(Monat.Tag1)=7,June!Monat.PTotalUeVM,IF(MONTH(Monat.Tag1)=8,July!Monat.PTotalUeVM,IF(MONTH(Monat.Tag1)=9,August!Monat.PTotalUeVM,IF(MONTH(Monat.Tag1)=10,September!Monat.PTotalUeVM,IF(MONTH(Monat.Tag1)=11,October!Monat.PTotalUeVM,IF(MONTH(Monat.Tag1)=12,November!Monat.PTotalUeVM,"")))))))))))),"")</f>
        <v>0</v>
      </c>
      <c r="AL112" s="209"/>
      <c r="AM112" s="246">
        <f t="shared" ca="1" si="36"/>
        <v>0</v>
      </c>
      <c r="AN112" s="289"/>
      <c r="AO112" s="289"/>
      <c r="AP112" s="123"/>
    </row>
    <row r="113" spans="1:42" s="38" customFormat="1" ht="11.25" customHeight="1" x14ac:dyDescent="0.2">
      <c r="A113" s="290"/>
      <c r="B113" s="226"/>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91"/>
      <c r="AG113" s="286"/>
      <c r="AH113" s="226"/>
      <c r="AI113" s="292"/>
      <c r="AJ113" s="226"/>
      <c r="AK113" s="226"/>
      <c r="AL113" s="226"/>
      <c r="AM113" s="130"/>
      <c r="AN113" s="226"/>
      <c r="AO113" s="226"/>
      <c r="AP113" s="119"/>
    </row>
    <row r="114" spans="1:42" s="38" customFormat="1" ht="15" hidden="1" customHeight="1" outlineLevel="1" x14ac:dyDescent="0.2">
      <c r="A114" s="215" t="s">
        <v>225</v>
      </c>
      <c r="B114" s="241">
        <f t="shared" ref="B114:AE114" si="38">ROUND(((B23+B45+B91)-SUMPRODUCT((B97:B111)*(EB.Projektart.Bereich=6)))*1440,0)/1440</f>
        <v>0</v>
      </c>
      <c r="C114" s="241">
        <f t="shared" si="38"/>
        <v>0</v>
      </c>
      <c r="D114" s="241">
        <f t="shared" si="38"/>
        <v>0</v>
      </c>
      <c r="E114" s="241">
        <f t="shared" si="38"/>
        <v>0</v>
      </c>
      <c r="F114" s="241">
        <f t="shared" si="38"/>
        <v>0</v>
      </c>
      <c r="G114" s="241">
        <f t="shared" si="38"/>
        <v>0</v>
      </c>
      <c r="H114" s="241">
        <f t="shared" si="38"/>
        <v>0</v>
      </c>
      <c r="I114" s="241">
        <f t="shared" si="38"/>
        <v>0</v>
      </c>
      <c r="J114" s="241">
        <f t="shared" si="38"/>
        <v>0</v>
      </c>
      <c r="K114" s="241">
        <f t="shared" si="38"/>
        <v>0</v>
      </c>
      <c r="L114" s="241">
        <f t="shared" si="38"/>
        <v>0</v>
      </c>
      <c r="M114" s="241">
        <f t="shared" si="38"/>
        <v>0</v>
      </c>
      <c r="N114" s="241">
        <f t="shared" si="38"/>
        <v>0</v>
      </c>
      <c r="O114" s="241">
        <f t="shared" si="38"/>
        <v>0</v>
      </c>
      <c r="P114" s="241">
        <f t="shared" si="38"/>
        <v>0</v>
      </c>
      <c r="Q114" s="241">
        <f t="shared" si="38"/>
        <v>0</v>
      </c>
      <c r="R114" s="241">
        <f t="shared" si="38"/>
        <v>0</v>
      </c>
      <c r="S114" s="241">
        <f t="shared" si="38"/>
        <v>0</v>
      </c>
      <c r="T114" s="241">
        <f t="shared" si="38"/>
        <v>0</v>
      </c>
      <c r="U114" s="241">
        <f t="shared" si="38"/>
        <v>0</v>
      </c>
      <c r="V114" s="241">
        <f t="shared" si="38"/>
        <v>0</v>
      </c>
      <c r="W114" s="241">
        <f t="shared" si="38"/>
        <v>0</v>
      </c>
      <c r="X114" s="241">
        <f t="shared" si="38"/>
        <v>0</v>
      </c>
      <c r="Y114" s="241">
        <f t="shared" si="38"/>
        <v>0</v>
      </c>
      <c r="Z114" s="241">
        <f t="shared" si="38"/>
        <v>0</v>
      </c>
      <c r="AA114" s="241">
        <f t="shared" si="38"/>
        <v>0</v>
      </c>
      <c r="AB114" s="241">
        <f t="shared" si="38"/>
        <v>0</v>
      </c>
      <c r="AC114" s="241">
        <f t="shared" si="38"/>
        <v>0</v>
      </c>
      <c r="AD114" s="241">
        <f t="shared" si="38"/>
        <v>0</v>
      </c>
      <c r="AE114" s="241">
        <f t="shared" si="38"/>
        <v>0</v>
      </c>
      <c r="AF114" s="217" t="str">
        <f t="shared" ref="AF114" si="39">A114</f>
        <v>Difference WH-Project type 6</v>
      </c>
      <c r="AG114" s="228"/>
      <c r="AH114" s="238">
        <f>SUM(B114:AE114)</f>
        <v>0</v>
      </c>
      <c r="AI114" s="261"/>
      <c r="AJ114" s="262"/>
      <c r="AK114" s="245">
        <f ca="1">IF(EB.Anwendung&lt;&gt;"",IF(MONTH(Monat.Tag1)=1,0,IF(MONTH(Monat.Tag1)=2,January!Monat.PDiffUeVM,IF(MONTH(Monat.Tag1)=3,February!Monat.PDiffUeVM,IF(MONTH(Monat.Tag1)=4,March!Monat.PDiffUeVM,IF(MONTH(Monat.Tag1)=5,April!Monat.PDiffUeVM,IF(MONTH(Monat.Tag1)=6,May!Monat.PDiffUeVM,IF(MONTH(Monat.Tag1)=7,June!Monat.PDiffUeVM,IF(MONTH(Monat.Tag1)=8,July!Monat.PDiffUeVM,IF(MONTH(Monat.Tag1)=9,August!Monat.PDiffUeVM,IF(MONTH(Monat.Tag1)=10,September!Monat.PDiffUeVM,IF(MONTH(Monat.Tag1)=11,October!Monat.PDiffUeVM,IF(MONTH(Monat.Tag1)=12,November!Monat.PDiffUeVM,"")))))))))))),"")</f>
        <v>0</v>
      </c>
      <c r="AL114" s="262"/>
      <c r="AM114" s="246">
        <f ca="1">AH114+AK114</f>
        <v>0</v>
      </c>
      <c r="AN114" s="262"/>
      <c r="AO114" s="262"/>
      <c r="AP114" s="119"/>
    </row>
    <row r="115" spans="1:42" ht="11.25" hidden="1" customHeight="1" outlineLevel="1" x14ac:dyDescent="0.2">
      <c r="A115" s="123"/>
      <c r="B115" s="293"/>
      <c r="C115" s="293"/>
      <c r="D115" s="293"/>
      <c r="E115" s="293"/>
      <c r="F115" s="293"/>
      <c r="G115" s="293"/>
      <c r="H115" s="293"/>
      <c r="I115" s="293"/>
      <c r="J115" s="294"/>
      <c r="K115" s="293"/>
      <c r="L115" s="293"/>
      <c r="M115" s="293"/>
      <c r="N115" s="293"/>
      <c r="O115" s="293"/>
      <c r="P115" s="293"/>
      <c r="Q115" s="293"/>
      <c r="R115" s="293"/>
      <c r="S115" s="293"/>
      <c r="T115" s="293"/>
      <c r="U115" s="293"/>
      <c r="V115" s="293"/>
      <c r="W115" s="293"/>
      <c r="X115" s="293"/>
      <c r="Y115" s="293"/>
      <c r="Z115" s="293"/>
      <c r="AA115" s="293"/>
      <c r="AB115" s="293"/>
      <c r="AC115" s="293"/>
      <c r="AD115" s="293"/>
      <c r="AE115" s="293"/>
      <c r="AF115" s="295"/>
      <c r="AG115" s="296"/>
      <c r="AH115" s="123"/>
      <c r="AI115" s="123"/>
      <c r="AJ115" s="123"/>
      <c r="AK115" s="123"/>
      <c r="AL115" s="123"/>
      <c r="AM115" s="297"/>
      <c r="AN115" s="123"/>
      <c r="AO115" s="123"/>
      <c r="AP115" s="123"/>
    </row>
    <row r="116" spans="1:42" ht="11.25" customHeight="1" collapsed="1" x14ac:dyDescent="0.2">
      <c r="A116" s="123"/>
      <c r="B116" s="293"/>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293"/>
      <c r="AA116" s="293"/>
      <c r="AB116" s="293"/>
      <c r="AC116" s="293"/>
      <c r="AD116" s="293"/>
      <c r="AE116" s="293"/>
      <c r="AF116" s="295"/>
      <c r="AG116" s="296"/>
      <c r="AH116" s="123"/>
      <c r="AI116" s="123"/>
      <c r="AJ116" s="123"/>
      <c r="AK116" s="123"/>
      <c r="AL116" s="123"/>
      <c r="AM116" s="297"/>
      <c r="AN116" s="123"/>
      <c r="AO116" s="123"/>
      <c r="AP116" s="123"/>
    </row>
    <row r="117" spans="1:42" ht="12" customHeight="1" x14ac:dyDescent="0.2">
      <c r="A117" s="123"/>
      <c r="B117" s="490" t="s">
        <v>226</v>
      </c>
      <c r="C117" s="490"/>
      <c r="D117" s="490"/>
      <c r="E117" s="490"/>
      <c r="F117" s="490"/>
      <c r="G117" s="490"/>
      <c r="H117" s="490"/>
      <c r="I117" s="490"/>
      <c r="J117" s="490"/>
      <c r="K117" s="490"/>
      <c r="L117" s="490"/>
      <c r="M117" s="490"/>
      <c r="N117" s="490"/>
      <c r="O117" s="490"/>
      <c r="P117" s="490"/>
      <c r="Q117" s="490"/>
      <c r="R117" s="298"/>
      <c r="S117" s="298"/>
      <c r="T117" s="298"/>
      <c r="U117" s="298"/>
      <c r="V117" s="298"/>
      <c r="W117" s="298"/>
      <c r="X117" s="298"/>
      <c r="Y117" s="298"/>
      <c r="Z117" s="298"/>
      <c r="AA117" s="298"/>
      <c r="AB117" s="298"/>
      <c r="AC117" s="298"/>
      <c r="AD117" s="298"/>
      <c r="AE117" s="298"/>
      <c r="AF117" s="299"/>
      <c r="AG117" s="300"/>
      <c r="AH117" s="298"/>
      <c r="AI117" s="298"/>
      <c r="AJ117" s="298"/>
      <c r="AK117" s="298"/>
      <c r="AL117" s="298"/>
      <c r="AM117" s="301"/>
      <c r="AN117" s="288"/>
      <c r="AO117" s="288"/>
      <c r="AP117" s="123"/>
    </row>
    <row r="118" spans="1:42" ht="11.25" customHeight="1" x14ac:dyDescent="0.2">
      <c r="A118" s="302"/>
      <c r="B118" s="302"/>
      <c r="C118" s="302"/>
      <c r="D118" s="302"/>
      <c r="E118" s="302"/>
      <c r="F118" s="302"/>
      <c r="G118" s="302"/>
      <c r="H118" s="302"/>
      <c r="I118" s="302"/>
      <c r="J118" s="302"/>
      <c r="K118" s="302"/>
      <c r="L118" s="302"/>
      <c r="M118" s="298"/>
      <c r="N118" s="298"/>
      <c r="O118" s="298"/>
      <c r="P118" s="298"/>
      <c r="Q118" s="298"/>
      <c r="R118" s="298"/>
      <c r="S118" s="298"/>
      <c r="T118" s="298"/>
      <c r="U118" s="298"/>
      <c r="V118" s="298"/>
      <c r="W118" s="298"/>
      <c r="X118" s="298"/>
      <c r="Y118" s="298"/>
      <c r="Z118" s="298"/>
      <c r="AA118" s="298"/>
      <c r="AB118" s="298"/>
      <c r="AC118" s="298"/>
      <c r="AD118" s="298"/>
      <c r="AE118" s="298"/>
      <c r="AF118" s="298"/>
      <c r="AG118" s="298"/>
      <c r="AH118" s="298"/>
      <c r="AI118" s="298"/>
      <c r="AJ118" s="298"/>
      <c r="AK118" s="298"/>
      <c r="AL118" s="298"/>
      <c r="AM118" s="298"/>
      <c r="AN118" s="298"/>
      <c r="AO118" s="298"/>
      <c r="AP118" s="123"/>
    </row>
    <row r="119" spans="1:42" ht="39" customHeight="1" x14ac:dyDescent="0.2">
      <c r="A119" s="135" t="s">
        <v>227</v>
      </c>
      <c r="B119" s="491"/>
      <c r="C119" s="491"/>
      <c r="D119" s="491"/>
      <c r="E119" s="491"/>
      <c r="F119" s="491"/>
      <c r="G119" s="491"/>
      <c r="H119" s="491"/>
      <c r="I119" s="491"/>
      <c r="J119" s="491"/>
      <c r="K119" s="491"/>
      <c r="L119" s="491"/>
      <c r="M119" s="491"/>
      <c r="N119" s="491"/>
      <c r="O119" s="491"/>
      <c r="P119" s="491"/>
      <c r="Q119" s="491"/>
      <c r="R119" s="298"/>
      <c r="S119" s="298"/>
      <c r="T119" s="298"/>
      <c r="U119" s="298"/>
      <c r="V119" s="298"/>
      <c r="W119" s="298"/>
      <c r="X119" s="298"/>
      <c r="Y119" s="492"/>
      <c r="Z119" s="492"/>
      <c r="AA119" s="492"/>
      <c r="AB119" s="492"/>
      <c r="AC119" s="492"/>
      <c r="AD119" s="492"/>
      <c r="AE119" s="492"/>
      <c r="AF119" s="494" t="str">
        <f ca="1">IF(AF67&lt;&gt;Monat.KomAZText,AF67 &amp; CHAR(10),"") &amp;
IF(AF84&lt;&gt;Monat.FerienText,AF84,"")</f>
        <v/>
      </c>
      <c r="AG119" s="494"/>
      <c r="AH119" s="494"/>
      <c r="AI119" s="494"/>
      <c r="AJ119" s="494"/>
      <c r="AK119" s="494"/>
      <c r="AL119" s="494"/>
      <c r="AM119" s="494"/>
      <c r="AN119" s="494"/>
      <c r="AO119" s="494"/>
      <c r="AP119" s="123"/>
    </row>
    <row r="120" spans="1:42" ht="12" customHeight="1" x14ac:dyDescent="0.2">
      <c r="A120" s="442" t="s">
        <v>228</v>
      </c>
      <c r="B120" s="495"/>
      <c r="C120" s="495"/>
      <c r="D120" s="495"/>
      <c r="E120" s="495"/>
      <c r="F120" s="495"/>
      <c r="G120" s="495"/>
      <c r="H120" s="495"/>
      <c r="I120" s="495"/>
      <c r="J120" s="495"/>
      <c r="K120" s="495"/>
      <c r="L120" s="495"/>
      <c r="M120" s="495"/>
      <c r="N120" s="495"/>
      <c r="O120" s="495"/>
      <c r="P120" s="495"/>
      <c r="Q120" s="495"/>
      <c r="R120" s="298"/>
      <c r="S120" s="298"/>
      <c r="T120" s="496" t="s">
        <v>234</v>
      </c>
      <c r="U120" s="496"/>
      <c r="V120" s="496"/>
      <c r="W120" s="496"/>
      <c r="X120" s="496"/>
      <c r="Y120" s="493"/>
      <c r="Z120" s="493"/>
      <c r="AA120" s="493"/>
      <c r="AB120" s="493"/>
      <c r="AC120" s="493"/>
      <c r="AD120" s="493"/>
      <c r="AE120" s="493"/>
      <c r="AF120" s="494"/>
      <c r="AG120" s="494"/>
      <c r="AH120" s="494"/>
      <c r="AI120" s="494"/>
      <c r="AJ120" s="494"/>
      <c r="AK120" s="494"/>
      <c r="AL120" s="494"/>
      <c r="AM120" s="494"/>
      <c r="AN120" s="494"/>
      <c r="AO120" s="494"/>
      <c r="AP120" s="123"/>
    </row>
    <row r="121" spans="1:42" ht="11.25" customHeight="1" x14ac:dyDescent="0.2">
      <c r="A121" s="304"/>
      <c r="B121" s="305"/>
      <c r="C121" s="305"/>
      <c r="D121" s="305"/>
      <c r="E121" s="305"/>
      <c r="F121" s="305"/>
      <c r="G121" s="305"/>
      <c r="H121" s="305"/>
      <c r="I121" s="305"/>
      <c r="J121" s="305"/>
      <c r="K121" s="305"/>
      <c r="L121" s="305"/>
      <c r="M121" s="293"/>
      <c r="N121" s="293"/>
      <c r="O121" s="293"/>
      <c r="P121" s="293"/>
      <c r="Q121" s="293"/>
      <c r="R121" s="293"/>
      <c r="S121" s="298"/>
      <c r="T121" s="293"/>
      <c r="U121" s="293"/>
      <c r="V121" s="293"/>
      <c r="W121" s="293"/>
      <c r="X121" s="293"/>
      <c r="Y121" s="293"/>
      <c r="Z121" s="293"/>
      <c r="AA121" s="293"/>
      <c r="AB121" s="293"/>
      <c r="AC121" s="293"/>
      <c r="AD121" s="293"/>
      <c r="AE121" s="293"/>
      <c r="AF121" s="295"/>
      <c r="AG121" s="296"/>
      <c r="AH121" s="123"/>
      <c r="AI121" s="123"/>
      <c r="AJ121" s="123"/>
      <c r="AK121" s="123"/>
      <c r="AL121" s="123"/>
      <c r="AM121" s="297"/>
      <c r="AN121" s="123"/>
      <c r="AO121" s="123"/>
      <c r="AP121" s="123"/>
    </row>
    <row r="122" spans="1:42" ht="12" customHeight="1" x14ac:dyDescent="0.2">
      <c r="A122" s="123"/>
      <c r="B122" s="482" t="s">
        <v>91</v>
      </c>
      <c r="C122" s="482"/>
      <c r="D122" s="482"/>
      <c r="E122" s="482"/>
      <c r="F122" s="482"/>
      <c r="G122" s="482"/>
      <c r="H122" s="482"/>
      <c r="I122" s="482"/>
      <c r="J122" s="482"/>
      <c r="K122" s="482"/>
      <c r="L122" s="482"/>
      <c r="M122" s="482"/>
      <c r="N122" s="482"/>
      <c r="O122" s="482"/>
      <c r="P122" s="482"/>
      <c r="Q122" s="482"/>
      <c r="R122" s="293"/>
      <c r="S122" s="293"/>
      <c r="T122" s="293"/>
      <c r="U122" s="293"/>
      <c r="V122" s="293"/>
      <c r="W122" s="293"/>
      <c r="X122" s="293"/>
      <c r="Y122" s="293"/>
      <c r="Z122" s="293"/>
      <c r="AA122" s="293"/>
      <c r="AB122" s="293"/>
      <c r="AC122" s="293"/>
      <c r="AD122" s="293"/>
      <c r="AE122" s="293"/>
      <c r="AF122" s="295"/>
      <c r="AG122" s="296"/>
      <c r="AH122" s="123"/>
      <c r="AI122" s="123"/>
      <c r="AJ122" s="123"/>
      <c r="AK122" s="123"/>
      <c r="AL122" s="123"/>
      <c r="AM122" s="297"/>
      <c r="AN122" s="123"/>
      <c r="AO122" s="123"/>
      <c r="AP122" s="123"/>
    </row>
    <row r="123" spans="1:42" ht="11.25" customHeight="1" x14ac:dyDescent="0.2">
      <c r="A123" s="123"/>
      <c r="B123" s="293"/>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293"/>
      <c r="Z123" s="293"/>
      <c r="AA123" s="293"/>
      <c r="AB123" s="293"/>
      <c r="AC123" s="293"/>
      <c r="AD123" s="293"/>
      <c r="AE123" s="293"/>
      <c r="AF123" s="295"/>
      <c r="AG123" s="296"/>
      <c r="AH123" s="123"/>
      <c r="AI123" s="123"/>
      <c r="AJ123" s="123"/>
      <c r="AK123" s="123"/>
      <c r="AL123" s="123"/>
      <c r="AM123" s="297"/>
      <c r="AN123" s="123"/>
      <c r="AO123" s="123"/>
      <c r="AP123" s="123"/>
    </row>
    <row r="124" spans="1:42" ht="11.25" customHeight="1" x14ac:dyDescent="0.2">
      <c r="A124" s="298"/>
      <c r="B124" s="298"/>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c r="AA124" s="298"/>
      <c r="AB124" s="298"/>
      <c r="AC124" s="298"/>
      <c r="AD124" s="298"/>
      <c r="AE124" s="298"/>
      <c r="AF124" s="298"/>
      <c r="AG124" s="298"/>
      <c r="AH124" s="298"/>
      <c r="AI124" s="298"/>
      <c r="AJ124" s="298"/>
      <c r="AK124" s="298"/>
      <c r="AL124" s="298"/>
      <c r="AM124" s="298"/>
      <c r="AN124" s="298"/>
      <c r="AO124" s="298"/>
      <c r="AP124" s="123"/>
    </row>
    <row r="125" spans="1:42" x14ac:dyDescent="0.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row>
    <row r="126" spans="1:42"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row>
    <row r="127" spans="1:42"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row>
    <row r="128" spans="1:42" x14ac:dyDescent="0.2">
      <c r="AF128" s="50"/>
      <c r="AG128" s="50"/>
      <c r="AM128" s="50"/>
    </row>
    <row r="129" spans="32:39" x14ac:dyDescent="0.2">
      <c r="AF129" s="50"/>
      <c r="AG129" s="50"/>
      <c r="AM129" s="50"/>
    </row>
    <row r="130" spans="32:39" x14ac:dyDescent="0.2">
      <c r="AF130" s="50"/>
      <c r="AG130" s="50"/>
      <c r="AM130" s="50"/>
    </row>
    <row r="131" spans="32:39" x14ac:dyDescent="0.2">
      <c r="AF131" s="50"/>
      <c r="AG131" s="50"/>
      <c r="AM131" s="50"/>
    </row>
    <row r="132" spans="32:39" x14ac:dyDescent="0.2">
      <c r="AF132" s="50"/>
      <c r="AG132" s="50"/>
      <c r="AM132" s="50"/>
    </row>
    <row r="133" spans="32:39" x14ac:dyDescent="0.2">
      <c r="AF133" s="50"/>
      <c r="AG133" s="50"/>
      <c r="AM133" s="50"/>
    </row>
    <row r="134" spans="32:39" x14ac:dyDescent="0.2">
      <c r="AF134" s="50"/>
      <c r="AG134" s="50"/>
      <c r="AM134" s="50"/>
    </row>
    <row r="135" spans="32:39" x14ac:dyDescent="0.2">
      <c r="AF135" s="50"/>
      <c r="AG135" s="50"/>
      <c r="AM135" s="50"/>
    </row>
    <row r="136" spans="32:39" x14ac:dyDescent="0.2">
      <c r="AF136" s="50"/>
      <c r="AG136" s="50"/>
      <c r="AM136" s="50"/>
    </row>
    <row r="137" spans="32:39" x14ac:dyDescent="0.2">
      <c r="AF137" s="50"/>
      <c r="AG137" s="50"/>
      <c r="AM137" s="50"/>
    </row>
    <row r="138" spans="32:39" x14ac:dyDescent="0.2">
      <c r="AF138" s="50"/>
      <c r="AG138" s="50"/>
      <c r="AM138" s="50"/>
    </row>
    <row r="139" spans="32:39" x14ac:dyDescent="0.2">
      <c r="AF139" s="50"/>
      <c r="AG139" s="50"/>
      <c r="AM139" s="50"/>
    </row>
    <row r="140" spans="32:39" x14ac:dyDescent="0.2">
      <c r="AF140" s="50"/>
      <c r="AG140" s="50"/>
      <c r="AM140" s="50"/>
    </row>
  </sheetData>
  <sheetProtection sheet="1" objects="1" scenarios="1"/>
  <mergeCells count="26">
    <mergeCell ref="B6:E6"/>
    <mergeCell ref="F6:N6"/>
    <mergeCell ref="B1:L1"/>
    <mergeCell ref="AN1:AO1"/>
    <mergeCell ref="B2:E2"/>
    <mergeCell ref="F2:N2"/>
    <mergeCell ref="P2:U2"/>
    <mergeCell ref="B3:E3"/>
    <mergeCell ref="F3:N3"/>
    <mergeCell ref="P3:U3"/>
    <mergeCell ref="B4:E4"/>
    <mergeCell ref="F4:N4"/>
    <mergeCell ref="P4:U4"/>
    <mergeCell ref="B5:E5"/>
    <mergeCell ref="F5:N5"/>
    <mergeCell ref="B122:Q122"/>
    <mergeCell ref="B7:E7"/>
    <mergeCell ref="F7:N7"/>
    <mergeCell ref="AG10:AH10"/>
    <mergeCell ref="AN10:AO10"/>
    <mergeCell ref="B117:Q117"/>
    <mergeCell ref="B119:Q119"/>
    <mergeCell ref="Y119:AE120"/>
    <mergeCell ref="AF119:AO120"/>
    <mergeCell ref="B120:Q120"/>
    <mergeCell ref="T120:X120"/>
  </mergeCells>
  <conditionalFormatting sqref="AH114 B114:AE114">
    <cfRule type="expression" dxfId="108" priority="13">
      <formula>ABS(B$114)&gt;=ROUND(1/24/60,9)</formula>
    </cfRule>
  </conditionalFormatting>
  <conditionalFormatting sqref="B13:AE22 B34:AE44 B25:AE30 B60:AE61 B67:AE67 B71:AE72 B84:AE84 B86:AE95 B97:AE111">
    <cfRule type="expression" dxfId="107" priority="11">
      <formula>WEEKDAY(B$10,2)&gt;5</formula>
    </cfRule>
    <cfRule type="expression" dxfId="106" priority="12">
      <formula>AND(NOT(ISERROR(MATCH(B$10,T.Feiertage.Bereich,0))),OFFSET(T.Feiertage.Bereich,MATCH(B$10,T.Feiertage.Bereich,0)-1,1,1,1)&gt;0)</formula>
    </cfRule>
    <cfRule type="expression" dxfId="105" priority="14">
      <formula>B$11=0</formula>
    </cfRule>
  </conditionalFormatting>
  <conditionalFormatting sqref="AM60:AN60">
    <cfRule type="expression" dxfId="104" priority="19">
      <formula>AND(T.50_Vetsuisse,AM60&gt;=T.GrenzeAngÜZ50_Vetsuisse)</formula>
    </cfRule>
    <cfRule type="expression" dxfId="103" priority="20">
      <formula>AND(T.50_Vetsuisse,AM60&gt;T.GrenzeAngÜZ50_Vetsuisse*T.AngÜZ50_Vetsuisse_orange)</formula>
    </cfRule>
  </conditionalFormatting>
  <conditionalFormatting sqref="B56:AE56">
    <cfRule type="expression" dxfId="102" priority="5">
      <formula>AND(B$10&gt;TODAY(),EB.UJAustritt="")</formula>
    </cfRule>
    <cfRule type="expression" dxfId="101" priority="6">
      <formula>B$56&gt;99.99/24</formula>
    </cfRule>
    <cfRule type="expression" dxfId="100" priority="8">
      <formula>B$56&lt;99.99/24*-1</formula>
    </cfRule>
  </conditionalFormatting>
  <conditionalFormatting sqref="AN55:AO55">
    <cfRule type="cellIs" dxfId="99" priority="21" operator="greaterThan">
      <formula>1/24/60</formula>
    </cfRule>
    <cfRule type="expression" dxfId="98" priority="22">
      <formula>AND(AN55&lt;=1/24/60*-1,TODAY()&gt;=DATE(EB.Jahr,MONTH(12),DAY(31)))</formula>
    </cfRule>
  </conditionalFormatting>
  <conditionalFormatting sqref="AH58 B56:AE56">
    <cfRule type="expression" dxfId="97" priority="7">
      <formula>B$56&gt;1/24/60</formula>
    </cfRule>
    <cfRule type="expression" dxfId="96" priority="9">
      <formula>AND(B$56&lt;=1/24/60*-1,B$56)</formula>
    </cfRule>
  </conditionalFormatting>
  <conditionalFormatting sqref="B14:AE22 B36:AE44 B26:AE30">
    <cfRule type="expression" dxfId="95" priority="3">
      <formula>AND(B14&lt;B13,B14&lt;&gt;"")</formula>
    </cfRule>
  </conditionalFormatting>
  <conditionalFormatting sqref="B72:AE73">
    <cfRule type="expression" dxfId="94" priority="10">
      <formula>AND(T.50_Vetsuisse,OR(AND(B$72&lt;&gt;INDEX(T.JaNein.Bereich,1,1),B$72&lt;&gt;INDEX(T.JaNein.Bereich,2,1),B$73&lt;&gt;0,MOD(IFERROR(MATCH(1,B$13:B$22,0),1),2)=0),AND(B$72=INDEX(T.JaNein.Bereich,1,1),OR(B$73=0,MOD(IFERROR(MATCH(1,B$13:B$22,0),1),2)&lt;&gt;0))))</formula>
    </cfRule>
  </conditionalFormatting>
  <conditionalFormatting sqref="P4:U4">
    <cfRule type="expression" dxfId="93" priority="15">
      <formula>$P$4&lt;&gt;""</formula>
    </cfRule>
  </conditionalFormatting>
  <conditionalFormatting sqref="V4">
    <cfRule type="expression" dxfId="92" priority="16">
      <formula>$V$4&lt;&gt;""</formula>
    </cfRule>
  </conditionalFormatting>
  <conditionalFormatting sqref="AO60">
    <cfRule type="expression" dxfId="91" priority="23">
      <formula>AND(T.50_Vetsuisse,AO60&gt;=T.GrenzeAngÜZ50_Vetsuisse)</formula>
    </cfRule>
    <cfRule type="expression" dxfId="90" priority="24">
      <formula>AND(T.50_Vetsuisse,AO60&gt;T.GrenzeAngÜZ50_Vetsuisse*T.AngÜZ50_Vetsuisse_orange)</formula>
    </cfRule>
  </conditionalFormatting>
  <conditionalFormatting sqref="AI72:AI73">
    <cfRule type="expression" dxfId="89" priority="17">
      <formula>AND(T.50_Vetsuisse,$AI$72&lt;&gt;$AI$73)</formula>
    </cfRule>
    <cfRule type="expression" dxfId="88" priority="18">
      <formula>$AI$72&gt;$AI$73</formula>
    </cfRule>
  </conditionalFormatting>
  <conditionalFormatting sqref="B55:AE55">
    <cfRule type="expression" dxfId="87" priority="4">
      <formula>AND(B$10&lt;=TODAY(),B$55&lt;1/24/60*-1)</formula>
    </cfRule>
  </conditionalFormatting>
  <conditionalFormatting sqref="AF67 AF84">
    <cfRule type="expression" dxfId="86" priority="2">
      <formula>AF67&lt;&gt;A67</formula>
    </cfRule>
  </conditionalFormatting>
  <conditionalFormatting sqref="B67:AE67">
    <cfRule type="expression" dxfId="85" priority="1">
      <formula>AND(B66=0,B67&gt;0)</formula>
    </cfRule>
  </conditionalFormatting>
  <dataValidations count="2">
    <dataValidation type="list" allowBlank="1" showInputMessage="1" showErrorMessage="1" errorTitle="Start pl. night shift" error="Please choose a value from the drop-down list." sqref="B72:AE72" xr:uid="{DD3960E4-5615-40DE-A3A1-9E4069EA5800}">
      <formula1>T.JaNein.Bereich</formula1>
    </dataValidation>
    <dataValidation type="list" allowBlank="1" showInputMessage="1" showErrorMessage="1" errorTitle="Pikett Bereitschaft" error="Bitte wählen Sie einen Wert aus der Liste." sqref="B34:AE34" xr:uid="{74CC600A-D611-4E37-A543-1F6AB7653612}">
      <formula1>T.Pikett.Bereich</formula1>
    </dataValidation>
  </dataValidations>
  <printOptions horizontalCentered="1"/>
  <pageMargins left="0.19685039370078741" right="0.19685039370078741" top="0.39370078740157483" bottom="0.39370078740157483" header="0.31496062992125984" footer="0.19685039370078741"/>
  <pageSetup paperSize="9" scale="30" orientation="landscape" horizontalDpi="4294967292" verticalDpi="4294967292" r:id="rId1"/>
  <headerFooter alignWithMargins="0">
    <oddFooter>&amp;L&amp;"Arial,Standard"&amp;11Monatsabrechnung &amp;A&amp;C&amp;"Arial,Standard"&amp;11&amp;D&amp;R&amp;"Arial,Standard"&amp;11&amp;P / &amp;N</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8E05F-D4C4-47EB-BA5F-7448CEB33D11}">
  <sheetPr>
    <pageSetUpPr fitToPage="1"/>
  </sheetPr>
  <dimension ref="A1:AQ140"/>
  <sheetViews>
    <sheetView showGridLines="0" zoomScale="85" zoomScaleNormal="85" zoomScalePageLayoutView="85" workbookViewId="0">
      <pane xSplit="1" ySplit="10" topLeftCell="B11" activePane="bottomRight" state="frozenSplit"/>
      <selection activeCell="Q8" sqref="Q8:AF11"/>
      <selection pane="topRight" activeCell="Q8" sqref="Q8:AF11"/>
      <selection pane="bottomLeft" activeCell="Q8" sqref="Q8:AF11"/>
      <selection pane="bottomRight" activeCell="B13" sqref="B13"/>
    </sheetView>
  </sheetViews>
  <sheetFormatPr baseColWidth="10" defaultColWidth="10.75" defaultRowHeight="12.75" outlineLevelRow="1" outlineLevelCol="1" x14ac:dyDescent="0.2"/>
  <cols>
    <col min="1" max="1" width="24.5" style="50" customWidth="1"/>
    <col min="2" max="32" width="5.75" style="50" customWidth="1"/>
    <col min="33" max="33" width="24.5" style="52" customWidth="1"/>
    <col min="34" max="34" width="2.125" style="53" customWidth="1"/>
    <col min="35" max="36" width="8.125" style="50" customWidth="1"/>
    <col min="37" max="37" width="15.875" style="50" hidden="1" customWidth="1" outlineLevel="1"/>
    <col min="38" max="39" width="14.25" style="50" hidden="1" customWidth="1" outlineLevel="1"/>
    <col min="40" max="40" width="9.375" style="37" customWidth="1" collapsed="1"/>
    <col min="41" max="42" width="8.125" style="50" customWidth="1"/>
    <col min="43" max="43" width="3.75" style="50" customWidth="1"/>
    <col min="44" max="16384" width="10.75" style="50"/>
  </cols>
  <sheetData>
    <row r="1" spans="1:43" s="54" customFormat="1" ht="22.5" customHeight="1" x14ac:dyDescent="0.2">
      <c r="A1" s="181" t="str">
        <f>INDEX(EB.Monate.Bereich,MONTH(Monat.Tag1)) &amp; " " &amp; EB.Jahr</f>
        <v>October 2020</v>
      </c>
      <c r="B1" s="470" t="str">
        <f>Eingabeblatt!B1</f>
        <v>Employee Time Sheet</v>
      </c>
      <c r="C1" s="470"/>
      <c r="D1" s="470"/>
      <c r="E1" s="470"/>
      <c r="F1" s="470"/>
      <c r="G1" s="470"/>
      <c r="H1" s="470"/>
      <c r="I1" s="470"/>
      <c r="J1" s="470"/>
      <c r="K1" s="470"/>
      <c r="L1" s="470"/>
      <c r="M1" s="101"/>
      <c r="N1" s="101"/>
      <c r="O1" s="101"/>
      <c r="P1" s="101"/>
      <c r="Q1" s="101"/>
      <c r="R1" s="182"/>
      <c r="S1" s="101"/>
      <c r="T1" s="101"/>
      <c r="U1" s="101"/>
      <c r="V1" s="183"/>
      <c r="W1" s="183"/>
      <c r="X1" s="101"/>
      <c r="Y1" s="182"/>
      <c r="Z1" s="101"/>
      <c r="AA1" s="101"/>
      <c r="AB1" s="101"/>
      <c r="AC1" s="101"/>
      <c r="AD1" s="101"/>
      <c r="AE1" s="101"/>
      <c r="AF1" s="101"/>
      <c r="AG1" s="184"/>
      <c r="AH1" s="185"/>
      <c r="AI1" s="101"/>
      <c r="AJ1" s="101"/>
      <c r="AK1" s="101"/>
      <c r="AL1" s="101"/>
      <c r="AM1" s="101"/>
      <c r="AN1" s="440"/>
      <c r="AO1" s="498" t="str">
        <f>EB.Version</f>
        <v>Version 12.19</v>
      </c>
      <c r="AP1" s="498"/>
      <c r="AQ1" s="103" t="str">
        <f>EB.Sprache</f>
        <v>EN</v>
      </c>
    </row>
    <row r="2" spans="1:43" s="38" customFormat="1" ht="15" customHeight="1" x14ac:dyDescent="0.2">
      <c r="A2" s="135"/>
      <c r="B2" s="461" t="str">
        <f>Eingabeblatt!A3</f>
        <v>Name</v>
      </c>
      <c r="C2" s="474"/>
      <c r="D2" s="474"/>
      <c r="E2" s="462"/>
      <c r="F2" s="499" t="str">
        <f>IF(EB.Name="","?",EB.Name)</f>
        <v>?</v>
      </c>
      <c r="G2" s="500"/>
      <c r="H2" s="500"/>
      <c r="I2" s="500"/>
      <c r="J2" s="500"/>
      <c r="K2" s="500"/>
      <c r="L2" s="500"/>
      <c r="M2" s="500"/>
      <c r="N2" s="501"/>
      <c r="O2" s="186"/>
      <c r="P2" s="461" t="str">
        <f>Eingabeblatt!J7</f>
        <v>Employment Level (FTE) in %</v>
      </c>
      <c r="Q2" s="474"/>
      <c r="R2" s="474"/>
      <c r="S2" s="474"/>
      <c r="T2" s="474"/>
      <c r="U2" s="462"/>
      <c r="V2" s="14">
        <f>IF(INDEX(EB.EffBG.Bereich,MONTH(Monat.Tag1))="","-     ",INDEX(EB.EffBG.Bereich,MONTH(Monat.Tag1)))</f>
        <v>100</v>
      </c>
      <c r="W2" s="187"/>
      <c r="X2" s="187"/>
      <c r="Y2" s="108"/>
      <c r="Z2" s="119"/>
      <c r="AA2" s="119"/>
      <c r="AB2" s="119"/>
      <c r="AC2" s="119"/>
      <c r="AD2" s="119"/>
      <c r="AE2" s="119"/>
      <c r="AF2" s="119"/>
      <c r="AG2" s="106"/>
      <c r="AH2" s="188"/>
      <c r="AI2" s="119"/>
      <c r="AJ2" s="119"/>
      <c r="AK2" s="119"/>
      <c r="AL2" s="119"/>
      <c r="AM2" s="119"/>
      <c r="AN2" s="189"/>
      <c r="AO2" s="119"/>
      <c r="AP2" s="119"/>
      <c r="AQ2" s="119"/>
    </row>
    <row r="3" spans="1:43" s="38" customFormat="1" ht="15" customHeight="1" x14ac:dyDescent="0.2">
      <c r="A3" s="190"/>
      <c r="B3" s="461" t="str">
        <f>Eingabeblatt!H2</f>
        <v>Function</v>
      </c>
      <c r="C3" s="474"/>
      <c r="D3" s="474"/>
      <c r="E3" s="462"/>
      <c r="F3" s="483" t="str">
        <f>EB.Funktion</f>
        <v>Description of Function</v>
      </c>
      <c r="G3" s="484"/>
      <c r="H3" s="484"/>
      <c r="I3" s="484"/>
      <c r="J3" s="484"/>
      <c r="K3" s="484"/>
      <c r="L3" s="484"/>
      <c r="M3" s="484"/>
      <c r="N3" s="485"/>
      <c r="O3" s="106"/>
      <c r="P3" s="461" t="str">
        <f>Eingabeblatt!J12</f>
        <v>ø Hours per day at FTE</v>
      </c>
      <c r="Q3" s="474"/>
      <c r="R3" s="474"/>
      <c r="S3" s="474"/>
      <c r="T3" s="474"/>
      <c r="U3" s="462"/>
      <c r="V3" s="57">
        <f>IF(INDEX(EB.DurchSollTAZStd.Bereich,MONTH(Monat.Tag1))="","-     ",INDEX(EB.DurchSollTAZStd.Bereich,MONTH(Monat.Tag1)))</f>
        <v>0.35</v>
      </c>
      <c r="W3" s="191"/>
      <c r="X3" s="191"/>
      <c r="Y3" s="119"/>
      <c r="Z3" s="119"/>
      <c r="AA3" s="119"/>
      <c r="AB3" s="119"/>
      <c r="AC3" s="119"/>
      <c r="AD3" s="119"/>
      <c r="AE3" s="119"/>
      <c r="AF3" s="119"/>
      <c r="AG3" s="106"/>
      <c r="AH3" s="188"/>
      <c r="AI3" s="119"/>
      <c r="AJ3" s="119"/>
      <c r="AK3" s="119"/>
      <c r="AL3" s="119"/>
      <c r="AM3" s="119"/>
      <c r="AN3" s="189"/>
      <c r="AO3" s="119"/>
      <c r="AP3" s="119"/>
      <c r="AQ3" s="119"/>
    </row>
    <row r="4" spans="1:43" s="38" customFormat="1" ht="15" customHeight="1" x14ac:dyDescent="0.2">
      <c r="A4" s="190"/>
      <c r="B4" s="461" t="str">
        <f>Eingabeblatt!H3</f>
        <v>Institute/Department</v>
      </c>
      <c r="C4" s="474"/>
      <c r="D4" s="474"/>
      <c r="E4" s="462"/>
      <c r="F4" s="483" t="str">
        <f>EB.Institut</f>
        <v>Institute/Department Name</v>
      </c>
      <c r="G4" s="484"/>
      <c r="H4" s="484"/>
      <c r="I4" s="484"/>
      <c r="J4" s="484"/>
      <c r="K4" s="484"/>
      <c r="L4" s="484"/>
      <c r="M4" s="484"/>
      <c r="N4" s="485"/>
      <c r="O4" s="106"/>
      <c r="P4" s="497" t="str">
        <f ca="1">IF(EB.ÜZZSBerechtigt=INDEX(T.JaNein.Bereich,1,1),IF(AND(OR(AND(EB.LKgr16=INDEX(T.JaNein.Bereich,1,1),EB.LKgr16ab&gt;EOMONTH(Monat.Tag1,0)),EB.LKgr16&lt;&gt;INDEX(T.JaNein.Bereich,1,1)),Monat.AZSoll.Total&gt;0),Eingabeblatt!J6,""),"")</f>
        <v/>
      </c>
      <c r="Q4" s="497"/>
      <c r="R4" s="497"/>
      <c r="S4" s="497"/>
      <c r="T4" s="497"/>
      <c r="U4" s="497"/>
      <c r="V4" s="192" t="str">
        <f ca="1">IF(P4&lt;&gt;"",EB.ÜZZSBerechtigt,"")</f>
        <v/>
      </c>
      <c r="W4" s="119"/>
      <c r="X4" s="119"/>
      <c r="Y4" s="119"/>
      <c r="Z4" s="119"/>
      <c r="AA4" s="119"/>
      <c r="AB4" s="119"/>
      <c r="AC4" s="119"/>
      <c r="AD4" s="119"/>
      <c r="AE4" s="119"/>
      <c r="AF4" s="119"/>
      <c r="AG4" s="106"/>
      <c r="AH4" s="188"/>
      <c r="AI4" s="119"/>
      <c r="AJ4" s="119"/>
      <c r="AK4" s="119"/>
      <c r="AL4" s="119"/>
      <c r="AM4" s="119"/>
      <c r="AN4" s="189"/>
      <c r="AO4" s="119"/>
      <c r="AP4" s="119"/>
      <c r="AQ4" s="119"/>
    </row>
    <row r="5" spans="1:43" s="38" customFormat="1" ht="15" customHeight="1" x14ac:dyDescent="0.2">
      <c r="A5" s="190"/>
      <c r="B5" s="461" t="str">
        <f>Eingabeblatt!A5</f>
        <v>Employee Number</v>
      </c>
      <c r="C5" s="474"/>
      <c r="D5" s="474"/>
      <c r="E5" s="462"/>
      <c r="F5" s="483" t="str">
        <f>IF(EB.Personalnummer="","?",EB.Personalnummer)</f>
        <v>?</v>
      </c>
      <c r="G5" s="484"/>
      <c r="H5" s="484"/>
      <c r="I5" s="484"/>
      <c r="J5" s="484"/>
      <c r="K5" s="484"/>
      <c r="L5" s="484"/>
      <c r="M5" s="484"/>
      <c r="N5" s="485"/>
      <c r="O5" s="106"/>
      <c r="P5" s="110" t="str">
        <f>LEFT(Eingabeblatt!A38,SEARCH("(",Eingabeblatt!A38,1)-2) &amp; IF(MONTH(Monat.Tag1)&gt;1,IF(EB.Sprache="EN"," (changes as of "," (Veränderungen ab ") &amp; INDEX(EB.Monate.Bereich,MONTH(Monat.Tag1))  &amp; IF(EB.Sprache="EN"," have to be entered here)"," hier eintragen)"),"")</f>
        <v>Standard working hours (changes as of October have to be entered here)</v>
      </c>
      <c r="Q5" s="106"/>
      <c r="R5" s="119"/>
      <c r="S5" s="119"/>
      <c r="T5" s="119"/>
      <c r="U5" s="119"/>
      <c r="V5" s="119"/>
      <c r="W5" s="119"/>
      <c r="X5" s="119"/>
      <c r="Y5" s="119"/>
      <c r="Z5" s="119"/>
      <c r="AA5" s="119"/>
      <c r="AB5" s="119"/>
      <c r="AC5" s="119"/>
      <c r="AD5" s="119"/>
      <c r="AE5" s="119"/>
      <c r="AF5" s="119" t="s">
        <v>4</v>
      </c>
      <c r="AG5" s="106"/>
      <c r="AH5" s="188"/>
      <c r="AI5" s="119"/>
      <c r="AJ5" s="119"/>
      <c r="AK5" s="119"/>
      <c r="AL5" s="119"/>
      <c r="AM5" s="119"/>
      <c r="AN5" s="189"/>
      <c r="AO5" s="119"/>
      <c r="AP5" s="119"/>
      <c r="AQ5" s="119"/>
    </row>
    <row r="6" spans="1:43" s="38" customFormat="1" ht="15" customHeight="1" x14ac:dyDescent="0.2">
      <c r="A6" s="190"/>
      <c r="B6" s="461" t="str">
        <f>Eingabeblatt!H4</f>
        <v>Faculty</v>
      </c>
      <c r="C6" s="474"/>
      <c r="D6" s="474"/>
      <c r="E6" s="462"/>
      <c r="F6" s="483" t="str">
        <f>EB.Fakultaet</f>
        <v>Select Faculty</v>
      </c>
      <c r="G6" s="484"/>
      <c r="H6" s="484"/>
      <c r="I6" s="484"/>
      <c r="J6" s="484"/>
      <c r="K6" s="484"/>
      <c r="L6" s="484"/>
      <c r="M6" s="484"/>
      <c r="N6" s="485"/>
      <c r="O6" s="106"/>
      <c r="P6" s="193" t="str">
        <f>LEFT(INDEX(EB.RAZ_Wochentage.Bereich,1),2)</f>
        <v>Mo</v>
      </c>
      <c r="Q6" s="193" t="str">
        <f>LEFT(INDEX(EB.RAZ_Wochentage.Bereich,2),2)</f>
        <v>Tu</v>
      </c>
      <c r="R6" s="193" t="str">
        <f>LEFT(INDEX(EB.RAZ_Wochentage.Bereich,3),2)</f>
        <v>We</v>
      </c>
      <c r="S6" s="193" t="str">
        <f>LEFT(INDEX(EB.RAZ_Wochentage.Bereich,4),2)</f>
        <v>Th</v>
      </c>
      <c r="T6" s="193" t="str">
        <f>LEFT(INDEX(EB.RAZ_Wochentage.Bereich,5),2)</f>
        <v>Fr</v>
      </c>
      <c r="U6" s="193" t="str">
        <f>LEFT(INDEX(EB.RAZ_Wochentage.Bereich,6),2)</f>
        <v>Sa</v>
      </c>
      <c r="V6" s="193" t="str">
        <f>LEFT(INDEX(EB.RAZ_Wochentage.Bereich,7),2)</f>
        <v>Su</v>
      </c>
      <c r="W6" s="119"/>
      <c r="X6" s="119"/>
      <c r="Y6" s="119"/>
      <c r="Z6" s="119"/>
      <c r="AA6" s="119"/>
      <c r="AB6" s="119"/>
      <c r="AC6" s="119"/>
      <c r="AD6" s="119"/>
      <c r="AE6" s="119"/>
      <c r="AF6" s="119"/>
      <c r="AG6" s="106"/>
      <c r="AH6" s="188"/>
      <c r="AI6" s="119"/>
      <c r="AJ6" s="119"/>
      <c r="AK6" s="119"/>
      <c r="AL6" s="119"/>
      <c r="AM6" s="119"/>
      <c r="AN6" s="189"/>
      <c r="AO6" s="119"/>
      <c r="AP6" s="119"/>
      <c r="AQ6" s="119"/>
    </row>
    <row r="7" spans="1:43" s="38" customFormat="1" ht="15" customHeight="1" x14ac:dyDescent="0.2">
      <c r="A7" s="190"/>
      <c r="B7" s="461" t="str">
        <f>Eingabeblatt!H5</f>
        <v>Employee Category</v>
      </c>
      <c r="C7" s="474"/>
      <c r="D7" s="474"/>
      <c r="E7" s="462"/>
      <c r="F7" s="483" t="str">
        <f>EB.Personalkategorie</f>
        <v>Select Employee Category</v>
      </c>
      <c r="G7" s="484"/>
      <c r="H7" s="484"/>
      <c r="I7" s="484"/>
      <c r="J7" s="484"/>
      <c r="K7" s="484"/>
      <c r="L7" s="484"/>
      <c r="M7" s="484"/>
      <c r="N7" s="485"/>
      <c r="O7" s="106"/>
      <c r="P7" s="194">
        <f ca="1">IF(EB.Anwendung&lt;&gt;"",IF(MONTH(Monat.Tag1)=1,INDEX(EB.RAZ1_7.Bereich,1),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1)),"")</f>
        <v>0.35</v>
      </c>
      <c r="Q7" s="194">
        <f ca="1">IF(EB.Anwendung&lt;&gt;"",IF(MONTH(Monat.Tag1)=1,INDEX(EB.RAZ1_7.Bereich,2),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2)),"")</f>
        <v>0.35</v>
      </c>
      <c r="R7" s="194">
        <f ca="1">IF(EB.Anwendung&lt;&gt;"",IF(MONTH(Monat.Tag1)=1,INDEX(EB.RAZ1_7.Bereich,3),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3)),"")</f>
        <v>0.35</v>
      </c>
      <c r="S7" s="194">
        <f ca="1">IF(EB.Anwendung&lt;&gt;"",IF(MONTH(Monat.Tag1)=1,INDEX(EB.RAZ1_7.Bereich,4),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4)),"")</f>
        <v>0.35</v>
      </c>
      <c r="T7" s="194">
        <f ca="1">IF(EB.Anwendung&lt;&gt;"",IF(MONTH(Monat.Tag1)=1,INDEX(EB.RAZ1_7.Bereich,5),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5)),"")</f>
        <v>0.35</v>
      </c>
      <c r="U7" s="194">
        <f ca="1">IF(EB.Anwendung&lt;&gt;"",IF(MONTH(Monat.Tag1)=1,INDEX(EB.RAZ1_7.Bereich,6),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6)),"")</f>
        <v>0</v>
      </c>
      <c r="V7" s="194">
        <f ca="1">IF(EB.Anwendung&lt;&gt;"",IF(MONTH(Monat.Tag1)=1,INDEX(EB.RAZ1_7.Bereich,7),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7)),"")</f>
        <v>0</v>
      </c>
      <c r="W7" s="354">
        <f ca="1">SUM(Monat.RAZ1_7.Bereich)</f>
        <v>1.75</v>
      </c>
      <c r="X7" s="119"/>
      <c r="Y7" s="119"/>
      <c r="Z7" s="119"/>
      <c r="AA7" s="119"/>
      <c r="AB7" s="119"/>
      <c r="AC7" s="119"/>
      <c r="AD7" s="119"/>
      <c r="AE7" s="119"/>
      <c r="AF7" s="119"/>
      <c r="AG7" s="106"/>
      <c r="AH7" s="188"/>
      <c r="AI7" s="119"/>
      <c r="AJ7" s="119"/>
      <c r="AK7" s="119"/>
      <c r="AL7" s="119"/>
      <c r="AM7" s="119"/>
      <c r="AN7" s="189"/>
      <c r="AO7" s="119"/>
      <c r="AP7" s="119"/>
      <c r="AQ7" s="119"/>
    </row>
    <row r="8" spans="1:43" s="38" customFormat="1" ht="11.25" customHeight="1" x14ac:dyDescent="0.2">
      <c r="A8" s="135"/>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06"/>
      <c r="AH8" s="188"/>
      <c r="AI8" s="119"/>
      <c r="AJ8" s="119"/>
      <c r="AK8" s="119"/>
      <c r="AL8" s="119"/>
      <c r="AM8" s="119"/>
      <c r="AN8" s="189"/>
      <c r="AO8" s="119"/>
      <c r="AP8" s="119"/>
      <c r="AQ8" s="119"/>
    </row>
    <row r="9" spans="1:43" s="38" customFormat="1" ht="15" customHeight="1" x14ac:dyDescent="0.2">
      <c r="A9" s="135"/>
      <c r="B9" s="195" t="str">
        <f t="shared" ref="B9:AF9" si="0">INDEX(Monat.Wochentage.Bereich,1,WEEKDAY(B10,2))</f>
        <v>Th</v>
      </c>
      <c r="C9" s="195" t="str">
        <f t="shared" si="0"/>
        <v>Fr</v>
      </c>
      <c r="D9" s="195" t="str">
        <f t="shared" si="0"/>
        <v>Sa</v>
      </c>
      <c r="E9" s="195" t="str">
        <f t="shared" si="0"/>
        <v>Su</v>
      </c>
      <c r="F9" s="195" t="str">
        <f t="shared" si="0"/>
        <v>Mo</v>
      </c>
      <c r="G9" s="195" t="str">
        <f t="shared" si="0"/>
        <v>Tu</v>
      </c>
      <c r="H9" s="195" t="str">
        <f t="shared" si="0"/>
        <v>We</v>
      </c>
      <c r="I9" s="195" t="str">
        <f t="shared" si="0"/>
        <v>Th</v>
      </c>
      <c r="J9" s="195" t="str">
        <f t="shared" si="0"/>
        <v>Fr</v>
      </c>
      <c r="K9" s="195" t="str">
        <f t="shared" si="0"/>
        <v>Sa</v>
      </c>
      <c r="L9" s="195" t="str">
        <f t="shared" si="0"/>
        <v>Su</v>
      </c>
      <c r="M9" s="195" t="str">
        <f t="shared" si="0"/>
        <v>Mo</v>
      </c>
      <c r="N9" s="195" t="str">
        <f t="shared" si="0"/>
        <v>Tu</v>
      </c>
      <c r="O9" s="195" t="str">
        <f t="shared" si="0"/>
        <v>We</v>
      </c>
      <c r="P9" s="195" t="str">
        <f t="shared" si="0"/>
        <v>Th</v>
      </c>
      <c r="Q9" s="195" t="str">
        <f t="shared" si="0"/>
        <v>Fr</v>
      </c>
      <c r="R9" s="195" t="str">
        <f t="shared" si="0"/>
        <v>Sa</v>
      </c>
      <c r="S9" s="195" t="str">
        <f t="shared" si="0"/>
        <v>Su</v>
      </c>
      <c r="T9" s="195" t="str">
        <f t="shared" si="0"/>
        <v>Mo</v>
      </c>
      <c r="U9" s="195" t="str">
        <f t="shared" si="0"/>
        <v>Tu</v>
      </c>
      <c r="V9" s="195" t="str">
        <f t="shared" si="0"/>
        <v>We</v>
      </c>
      <c r="W9" s="195" t="str">
        <f t="shared" si="0"/>
        <v>Th</v>
      </c>
      <c r="X9" s="195" t="str">
        <f t="shared" si="0"/>
        <v>Fr</v>
      </c>
      <c r="Y9" s="195" t="str">
        <f t="shared" si="0"/>
        <v>Sa</v>
      </c>
      <c r="Z9" s="195" t="str">
        <f t="shared" si="0"/>
        <v>Su</v>
      </c>
      <c r="AA9" s="195" t="str">
        <f t="shared" si="0"/>
        <v>Mo</v>
      </c>
      <c r="AB9" s="195" t="str">
        <f t="shared" si="0"/>
        <v>Tu</v>
      </c>
      <c r="AC9" s="195" t="str">
        <f t="shared" si="0"/>
        <v>We</v>
      </c>
      <c r="AD9" s="195" t="str">
        <f t="shared" si="0"/>
        <v>Th</v>
      </c>
      <c r="AE9" s="195" t="str">
        <f t="shared" si="0"/>
        <v>Fr</v>
      </c>
      <c r="AF9" s="195" t="str">
        <f t="shared" si="0"/>
        <v>Sa</v>
      </c>
      <c r="AG9" s="106"/>
      <c r="AH9" s="188"/>
      <c r="AI9" s="119"/>
      <c r="AJ9" s="119"/>
      <c r="AK9" s="119"/>
      <c r="AL9" s="119"/>
      <c r="AM9" s="119"/>
      <c r="AN9" s="189"/>
      <c r="AO9" s="119"/>
      <c r="AP9" s="119"/>
      <c r="AQ9" s="119"/>
    </row>
    <row r="10" spans="1:43" s="59" customFormat="1" ht="25.5" x14ac:dyDescent="0.2">
      <c r="A10" s="196" t="s">
        <v>73</v>
      </c>
      <c r="B10" s="197">
        <v>42643</v>
      </c>
      <c r="C10" s="197">
        <f>B10+1</f>
        <v>42644</v>
      </c>
      <c r="D10" s="197">
        <f t="shared" ref="D10:AF10" si="1">C10+1</f>
        <v>42645</v>
      </c>
      <c r="E10" s="197">
        <f t="shared" si="1"/>
        <v>42646</v>
      </c>
      <c r="F10" s="197">
        <f t="shared" si="1"/>
        <v>42647</v>
      </c>
      <c r="G10" s="197">
        <f t="shared" si="1"/>
        <v>42648</v>
      </c>
      <c r="H10" s="197">
        <f t="shared" si="1"/>
        <v>42649</v>
      </c>
      <c r="I10" s="197">
        <f t="shared" si="1"/>
        <v>42650</v>
      </c>
      <c r="J10" s="197">
        <f t="shared" si="1"/>
        <v>42651</v>
      </c>
      <c r="K10" s="197">
        <f t="shared" si="1"/>
        <v>42652</v>
      </c>
      <c r="L10" s="197">
        <f t="shared" si="1"/>
        <v>42653</v>
      </c>
      <c r="M10" s="197">
        <f t="shared" si="1"/>
        <v>42654</v>
      </c>
      <c r="N10" s="197">
        <f t="shared" si="1"/>
        <v>42655</v>
      </c>
      <c r="O10" s="197">
        <f t="shared" si="1"/>
        <v>42656</v>
      </c>
      <c r="P10" s="197">
        <f t="shared" si="1"/>
        <v>42657</v>
      </c>
      <c r="Q10" s="197">
        <f t="shared" si="1"/>
        <v>42658</v>
      </c>
      <c r="R10" s="197">
        <f t="shared" si="1"/>
        <v>42659</v>
      </c>
      <c r="S10" s="197">
        <f t="shared" si="1"/>
        <v>42660</v>
      </c>
      <c r="T10" s="197">
        <f t="shared" si="1"/>
        <v>42661</v>
      </c>
      <c r="U10" s="197">
        <f t="shared" si="1"/>
        <v>42662</v>
      </c>
      <c r="V10" s="197">
        <f t="shared" si="1"/>
        <v>42663</v>
      </c>
      <c r="W10" s="197">
        <f t="shared" si="1"/>
        <v>42664</v>
      </c>
      <c r="X10" s="197">
        <f t="shared" si="1"/>
        <v>42665</v>
      </c>
      <c r="Y10" s="197">
        <f t="shared" si="1"/>
        <v>42666</v>
      </c>
      <c r="Z10" s="197">
        <f t="shared" si="1"/>
        <v>42667</v>
      </c>
      <c r="AA10" s="197">
        <f t="shared" si="1"/>
        <v>42668</v>
      </c>
      <c r="AB10" s="197">
        <f t="shared" si="1"/>
        <v>42669</v>
      </c>
      <c r="AC10" s="197">
        <f t="shared" si="1"/>
        <v>42670</v>
      </c>
      <c r="AD10" s="197">
        <f t="shared" si="1"/>
        <v>42671</v>
      </c>
      <c r="AE10" s="197">
        <f t="shared" si="1"/>
        <v>42672</v>
      </c>
      <c r="AF10" s="197">
        <f t="shared" si="1"/>
        <v>42673</v>
      </c>
      <c r="AG10" s="198" t="str">
        <f t="shared" ref="AG10:AG56" si="2">A10</f>
        <v>Day</v>
      </c>
      <c r="AH10" s="486" t="str">
        <f>"Total " &amp; INDEX(EB.Monate.Bereich,MONTH(Monat.Tag1))</f>
        <v>Total October</v>
      </c>
      <c r="AI10" s="487"/>
      <c r="AJ10" s="441" t="s">
        <v>229</v>
      </c>
      <c r="AK10" s="199" t="s">
        <v>121</v>
      </c>
      <c r="AL10" s="199" t="s">
        <v>122</v>
      </c>
      <c r="AM10" s="199" t="s">
        <v>230</v>
      </c>
      <c r="AN10" s="200" t="s">
        <v>123</v>
      </c>
      <c r="AO10" s="488" t="str">
        <f ca="1">IF(EB.Sprache="DE","Jahressaldo per" &amp; CHAR(10) &amp; "    ME       " &amp; IFERROR(TEXT(TODAY(),"[$-0007]"&amp;"TT.MM.JJ"),TEXT(TODAY(),"[$-0007]"&amp;"DD.MM.YY")),
"Yearly balance by" &amp; CHAR(10) &amp; "   eom      " &amp; IFERROR(TEXT(TODAY(),"[$-0809]"&amp;"DD.MM.YY"),TEXT(TODAY(),"[$-0809]"&amp;"TT.MM.JJ")))</f>
        <v>Yearly balance by
   eom      14.12.19</v>
      </c>
      <c r="AP10" s="489"/>
      <c r="AQ10" s="201"/>
    </row>
    <row r="11" spans="1:43" s="59" customFormat="1" ht="12" hidden="1" customHeight="1" x14ac:dyDescent="0.2">
      <c r="A11" s="196" t="s">
        <v>163</v>
      </c>
      <c r="B11" s="202">
        <f t="shared" ref="B11:AF11" ca="1" si="3">IFERROR(OFFSET(T.Feiertage.Bereich,MATCH(B$10,T.Feiertage.Bereich,0)-1,1,1,1),1)</f>
        <v>1</v>
      </c>
      <c r="C11" s="202">
        <f t="shared" ca="1" si="3"/>
        <v>1</v>
      </c>
      <c r="D11" s="202">
        <f t="shared" ca="1" si="3"/>
        <v>1</v>
      </c>
      <c r="E11" s="203">
        <f t="shared" ca="1" si="3"/>
        <v>1</v>
      </c>
      <c r="F11" s="202">
        <f t="shared" ca="1" si="3"/>
        <v>1</v>
      </c>
      <c r="G11" s="202">
        <f t="shared" ca="1" si="3"/>
        <v>1</v>
      </c>
      <c r="H11" s="202">
        <f t="shared" ca="1" si="3"/>
        <v>1</v>
      </c>
      <c r="I11" s="202">
        <f t="shared" ca="1" si="3"/>
        <v>1</v>
      </c>
      <c r="J11" s="203">
        <f t="shared" ca="1" si="3"/>
        <v>1</v>
      </c>
      <c r="K11" s="202">
        <f t="shared" ca="1" si="3"/>
        <v>1</v>
      </c>
      <c r="L11" s="203">
        <f t="shared" ca="1" si="3"/>
        <v>1</v>
      </c>
      <c r="M11" s="202">
        <f t="shared" ca="1" si="3"/>
        <v>1</v>
      </c>
      <c r="N11" s="202">
        <f t="shared" ca="1" si="3"/>
        <v>1</v>
      </c>
      <c r="O11" s="202">
        <f t="shared" ca="1" si="3"/>
        <v>1</v>
      </c>
      <c r="P11" s="202">
        <f t="shared" ca="1" si="3"/>
        <v>1</v>
      </c>
      <c r="Q11" s="203">
        <f t="shared" ca="1" si="3"/>
        <v>1</v>
      </c>
      <c r="R11" s="202">
        <f t="shared" ca="1" si="3"/>
        <v>1</v>
      </c>
      <c r="S11" s="203">
        <f t="shared" ca="1" si="3"/>
        <v>1</v>
      </c>
      <c r="T11" s="203">
        <f t="shared" ca="1" si="3"/>
        <v>1</v>
      </c>
      <c r="U11" s="202">
        <f t="shared" ca="1" si="3"/>
        <v>1</v>
      </c>
      <c r="V11" s="202">
        <f t="shared" ca="1" si="3"/>
        <v>1</v>
      </c>
      <c r="W11" s="202">
        <f t="shared" ca="1" si="3"/>
        <v>1</v>
      </c>
      <c r="X11" s="203">
        <f t="shared" ca="1" si="3"/>
        <v>1</v>
      </c>
      <c r="Y11" s="202">
        <f t="shared" ca="1" si="3"/>
        <v>1</v>
      </c>
      <c r="Z11" s="204">
        <f t="shared" ca="1" si="3"/>
        <v>1</v>
      </c>
      <c r="AA11" s="202">
        <f t="shared" ca="1" si="3"/>
        <v>1</v>
      </c>
      <c r="AB11" s="202">
        <f t="shared" ca="1" si="3"/>
        <v>1</v>
      </c>
      <c r="AC11" s="202">
        <f t="shared" ca="1" si="3"/>
        <v>1</v>
      </c>
      <c r="AD11" s="202">
        <f t="shared" ca="1" si="3"/>
        <v>1</v>
      </c>
      <c r="AE11" s="203">
        <f t="shared" ca="1" si="3"/>
        <v>1</v>
      </c>
      <c r="AF11" s="202">
        <f t="shared" ca="1" si="3"/>
        <v>1</v>
      </c>
      <c r="AG11" s="205"/>
      <c r="AH11" s="188"/>
      <c r="AI11" s="206"/>
      <c r="AJ11" s="207"/>
      <c r="AK11" s="208"/>
      <c r="AL11" s="209"/>
      <c r="AM11" s="209"/>
      <c r="AN11" s="208"/>
      <c r="AO11" s="209"/>
      <c r="AP11" s="209"/>
      <c r="AQ11" s="201"/>
    </row>
    <row r="12" spans="1:43" s="59" customFormat="1" ht="12" hidden="1" customHeight="1" x14ac:dyDescent="0.2">
      <c r="A12" s="196" t="s">
        <v>169</v>
      </c>
      <c r="B12" s="210">
        <f t="shared" ref="B12:AF12" si="4">IF(OR(AND(ISNUMBER(EB.UJEintritt),EB.UJEintritt&gt;=B$10+1),AND(ISNUMBER(EB.UJAustritt),EB.UJAustritt&lt;=B$10-1)),0,1)</f>
        <v>1</v>
      </c>
      <c r="C12" s="210">
        <f t="shared" si="4"/>
        <v>1</v>
      </c>
      <c r="D12" s="210">
        <f t="shared" si="4"/>
        <v>1</v>
      </c>
      <c r="E12" s="195">
        <f t="shared" si="4"/>
        <v>1</v>
      </c>
      <c r="F12" s="210">
        <f t="shared" si="4"/>
        <v>1</v>
      </c>
      <c r="G12" s="210">
        <f t="shared" si="4"/>
        <v>1</v>
      </c>
      <c r="H12" s="210">
        <f t="shared" si="4"/>
        <v>1</v>
      </c>
      <c r="I12" s="210">
        <f t="shared" si="4"/>
        <v>1</v>
      </c>
      <c r="J12" s="195">
        <f t="shared" si="4"/>
        <v>1</v>
      </c>
      <c r="K12" s="210">
        <f t="shared" si="4"/>
        <v>1</v>
      </c>
      <c r="L12" s="195">
        <f t="shared" si="4"/>
        <v>1</v>
      </c>
      <c r="M12" s="210">
        <f t="shared" si="4"/>
        <v>1</v>
      </c>
      <c r="N12" s="210">
        <f t="shared" si="4"/>
        <v>1</v>
      </c>
      <c r="O12" s="210">
        <f t="shared" si="4"/>
        <v>1</v>
      </c>
      <c r="P12" s="210">
        <f t="shared" si="4"/>
        <v>1</v>
      </c>
      <c r="Q12" s="195">
        <f t="shared" si="4"/>
        <v>1</v>
      </c>
      <c r="R12" s="210">
        <f t="shared" si="4"/>
        <v>1</v>
      </c>
      <c r="S12" s="195">
        <f t="shared" si="4"/>
        <v>1</v>
      </c>
      <c r="T12" s="195">
        <f t="shared" si="4"/>
        <v>1</v>
      </c>
      <c r="U12" s="210">
        <f t="shared" si="4"/>
        <v>1</v>
      </c>
      <c r="V12" s="210">
        <f t="shared" si="4"/>
        <v>1</v>
      </c>
      <c r="W12" s="210">
        <f t="shared" si="4"/>
        <v>1</v>
      </c>
      <c r="X12" s="195">
        <f t="shared" si="4"/>
        <v>1</v>
      </c>
      <c r="Y12" s="210">
        <f t="shared" si="4"/>
        <v>1</v>
      </c>
      <c r="Z12" s="211">
        <f t="shared" si="4"/>
        <v>1</v>
      </c>
      <c r="AA12" s="210">
        <f t="shared" si="4"/>
        <v>1</v>
      </c>
      <c r="AB12" s="210">
        <f t="shared" si="4"/>
        <v>1</v>
      </c>
      <c r="AC12" s="210">
        <f t="shared" si="4"/>
        <v>1</v>
      </c>
      <c r="AD12" s="210">
        <f t="shared" si="4"/>
        <v>1</v>
      </c>
      <c r="AE12" s="195">
        <f t="shared" si="4"/>
        <v>1</v>
      </c>
      <c r="AF12" s="210">
        <f t="shared" si="4"/>
        <v>1</v>
      </c>
      <c r="AG12" s="205"/>
      <c r="AH12" s="188"/>
      <c r="AI12" s="206"/>
      <c r="AJ12" s="207"/>
      <c r="AK12" s="208"/>
      <c r="AL12" s="209"/>
      <c r="AM12" s="209"/>
      <c r="AN12" s="208"/>
      <c r="AO12" s="209"/>
      <c r="AP12" s="209"/>
      <c r="AQ12" s="201"/>
    </row>
    <row r="13" spans="1:43" s="38" customFormat="1" ht="15" customHeight="1" x14ac:dyDescent="0.2">
      <c r="A13" s="212" t="s">
        <v>74</v>
      </c>
      <c r="B13" s="40"/>
      <c r="C13" s="40"/>
      <c r="D13" s="40"/>
      <c r="E13" s="27"/>
      <c r="F13" s="40"/>
      <c r="G13" s="40"/>
      <c r="H13" s="40"/>
      <c r="I13" s="40"/>
      <c r="J13" s="27"/>
      <c r="K13" s="40"/>
      <c r="L13" s="27"/>
      <c r="M13" s="40"/>
      <c r="N13" s="40"/>
      <c r="O13" s="40"/>
      <c r="P13" s="40"/>
      <c r="Q13" s="27"/>
      <c r="R13" s="40"/>
      <c r="S13" s="27"/>
      <c r="T13" s="27"/>
      <c r="U13" s="40"/>
      <c r="V13" s="40"/>
      <c r="W13" s="40"/>
      <c r="X13" s="27"/>
      <c r="Y13" s="40"/>
      <c r="Z13" s="39"/>
      <c r="AA13" s="40"/>
      <c r="AB13" s="40"/>
      <c r="AC13" s="40"/>
      <c r="AD13" s="40"/>
      <c r="AE13" s="27"/>
      <c r="AF13" s="40"/>
      <c r="AG13" s="205" t="str">
        <f t="shared" si="2"/>
        <v>in</v>
      </c>
      <c r="AH13" s="188"/>
      <c r="AI13" s="206"/>
      <c r="AJ13" s="207"/>
      <c r="AK13" s="208"/>
      <c r="AL13" s="209"/>
      <c r="AM13" s="209"/>
      <c r="AN13" s="208"/>
      <c r="AO13" s="209"/>
      <c r="AP13" s="209"/>
      <c r="AQ13" s="119"/>
    </row>
    <row r="14" spans="1:43" s="38" customFormat="1" ht="15" customHeight="1" x14ac:dyDescent="0.2">
      <c r="A14" s="212" t="s">
        <v>75</v>
      </c>
      <c r="B14" s="40"/>
      <c r="C14" s="40"/>
      <c r="D14" s="40"/>
      <c r="E14" s="27"/>
      <c r="F14" s="40"/>
      <c r="G14" s="40"/>
      <c r="H14" s="40"/>
      <c r="I14" s="40"/>
      <c r="J14" s="27"/>
      <c r="K14" s="40"/>
      <c r="L14" s="27"/>
      <c r="M14" s="40"/>
      <c r="N14" s="40"/>
      <c r="O14" s="40"/>
      <c r="P14" s="40"/>
      <c r="Q14" s="27"/>
      <c r="R14" s="40"/>
      <c r="S14" s="27"/>
      <c r="T14" s="27"/>
      <c r="U14" s="40"/>
      <c r="V14" s="40"/>
      <c r="W14" s="40"/>
      <c r="X14" s="27"/>
      <c r="Y14" s="40"/>
      <c r="Z14" s="39"/>
      <c r="AA14" s="40"/>
      <c r="AB14" s="40"/>
      <c r="AC14" s="40"/>
      <c r="AD14" s="40"/>
      <c r="AE14" s="27"/>
      <c r="AF14" s="40"/>
      <c r="AG14" s="205" t="str">
        <f t="shared" si="2"/>
        <v>out</v>
      </c>
      <c r="AH14" s="188"/>
      <c r="AI14" s="206"/>
      <c r="AJ14" s="207"/>
      <c r="AK14" s="208"/>
      <c r="AL14" s="209"/>
      <c r="AM14" s="209"/>
      <c r="AN14" s="208"/>
      <c r="AO14" s="209"/>
      <c r="AP14" s="209"/>
      <c r="AQ14" s="119"/>
    </row>
    <row r="15" spans="1:43" s="38" customFormat="1" ht="15" customHeight="1" x14ac:dyDescent="0.2">
      <c r="A15" s="212" t="s">
        <v>74</v>
      </c>
      <c r="B15" s="40"/>
      <c r="C15" s="40"/>
      <c r="D15" s="40"/>
      <c r="E15" s="27"/>
      <c r="F15" s="40"/>
      <c r="G15" s="40"/>
      <c r="H15" s="40"/>
      <c r="I15" s="40"/>
      <c r="J15" s="27"/>
      <c r="K15" s="40"/>
      <c r="L15" s="27"/>
      <c r="M15" s="40"/>
      <c r="N15" s="40"/>
      <c r="O15" s="40"/>
      <c r="P15" s="40"/>
      <c r="Q15" s="27"/>
      <c r="R15" s="40"/>
      <c r="S15" s="27"/>
      <c r="T15" s="27"/>
      <c r="U15" s="40"/>
      <c r="V15" s="40"/>
      <c r="W15" s="40"/>
      <c r="X15" s="27"/>
      <c r="Y15" s="40"/>
      <c r="Z15" s="39"/>
      <c r="AA15" s="40"/>
      <c r="AB15" s="40"/>
      <c r="AC15" s="40"/>
      <c r="AD15" s="40"/>
      <c r="AE15" s="27"/>
      <c r="AF15" s="40"/>
      <c r="AG15" s="205" t="str">
        <f t="shared" si="2"/>
        <v>in</v>
      </c>
      <c r="AH15" s="188"/>
      <c r="AI15" s="206"/>
      <c r="AJ15" s="207"/>
      <c r="AK15" s="208"/>
      <c r="AL15" s="209"/>
      <c r="AM15" s="209"/>
      <c r="AN15" s="208"/>
      <c r="AO15" s="209"/>
      <c r="AP15" s="209"/>
      <c r="AQ15" s="119"/>
    </row>
    <row r="16" spans="1:43" s="38" customFormat="1" ht="15" customHeight="1" x14ac:dyDescent="0.2">
      <c r="A16" s="212" t="s">
        <v>75</v>
      </c>
      <c r="B16" s="40"/>
      <c r="C16" s="40"/>
      <c r="D16" s="40"/>
      <c r="E16" s="27"/>
      <c r="F16" s="40"/>
      <c r="G16" s="40"/>
      <c r="H16" s="40"/>
      <c r="I16" s="40"/>
      <c r="J16" s="27"/>
      <c r="K16" s="40"/>
      <c r="L16" s="27"/>
      <c r="M16" s="40"/>
      <c r="N16" s="40"/>
      <c r="O16" s="40"/>
      <c r="P16" s="40"/>
      <c r="Q16" s="27"/>
      <c r="R16" s="40"/>
      <c r="S16" s="27"/>
      <c r="T16" s="27"/>
      <c r="U16" s="40"/>
      <c r="V16" s="40"/>
      <c r="W16" s="40"/>
      <c r="X16" s="27"/>
      <c r="Y16" s="40"/>
      <c r="Z16" s="39"/>
      <c r="AA16" s="40"/>
      <c r="AB16" s="40"/>
      <c r="AC16" s="40"/>
      <c r="AD16" s="40"/>
      <c r="AE16" s="27"/>
      <c r="AF16" s="40"/>
      <c r="AG16" s="205" t="str">
        <f t="shared" si="2"/>
        <v>out</v>
      </c>
      <c r="AH16" s="188"/>
      <c r="AI16" s="213"/>
      <c r="AJ16" s="214"/>
      <c r="AK16" s="209"/>
      <c r="AL16" s="209"/>
      <c r="AM16" s="209"/>
      <c r="AN16" s="208"/>
      <c r="AO16" s="209"/>
      <c r="AP16" s="209"/>
      <c r="AQ16" s="119"/>
    </row>
    <row r="17" spans="1:43" s="38" customFormat="1" ht="15" customHeight="1" x14ac:dyDescent="0.2">
      <c r="A17" s="212" t="s">
        <v>74</v>
      </c>
      <c r="B17" s="40"/>
      <c r="C17" s="40"/>
      <c r="D17" s="40"/>
      <c r="E17" s="27"/>
      <c r="F17" s="40"/>
      <c r="G17" s="40"/>
      <c r="H17" s="40"/>
      <c r="I17" s="40"/>
      <c r="J17" s="27"/>
      <c r="K17" s="40"/>
      <c r="L17" s="27"/>
      <c r="M17" s="40"/>
      <c r="N17" s="40"/>
      <c r="O17" s="40"/>
      <c r="P17" s="40"/>
      <c r="Q17" s="27"/>
      <c r="R17" s="40"/>
      <c r="S17" s="27"/>
      <c r="T17" s="27"/>
      <c r="U17" s="40"/>
      <c r="V17" s="40"/>
      <c r="W17" s="40"/>
      <c r="X17" s="27"/>
      <c r="Y17" s="40"/>
      <c r="Z17" s="39"/>
      <c r="AA17" s="40"/>
      <c r="AB17" s="40"/>
      <c r="AC17" s="40"/>
      <c r="AD17" s="40"/>
      <c r="AE17" s="27"/>
      <c r="AF17" s="40"/>
      <c r="AG17" s="205" t="str">
        <f t="shared" si="2"/>
        <v>in</v>
      </c>
      <c r="AH17" s="188"/>
      <c r="AI17" s="213"/>
      <c r="AJ17" s="214"/>
      <c r="AK17" s="209"/>
      <c r="AL17" s="209"/>
      <c r="AM17" s="209"/>
      <c r="AN17" s="208"/>
      <c r="AO17" s="209"/>
      <c r="AP17" s="209"/>
      <c r="AQ17" s="119"/>
    </row>
    <row r="18" spans="1:43" s="38" customFormat="1" ht="15" customHeight="1" x14ac:dyDescent="0.2">
      <c r="A18" s="212" t="s">
        <v>75</v>
      </c>
      <c r="B18" s="40"/>
      <c r="C18" s="40"/>
      <c r="D18" s="40"/>
      <c r="E18" s="27"/>
      <c r="F18" s="40"/>
      <c r="G18" s="40"/>
      <c r="H18" s="40"/>
      <c r="I18" s="40"/>
      <c r="J18" s="27"/>
      <c r="K18" s="40"/>
      <c r="L18" s="27"/>
      <c r="M18" s="40"/>
      <c r="N18" s="40"/>
      <c r="O18" s="40"/>
      <c r="P18" s="40"/>
      <c r="Q18" s="27"/>
      <c r="R18" s="40"/>
      <c r="S18" s="27"/>
      <c r="T18" s="27"/>
      <c r="U18" s="40"/>
      <c r="V18" s="40"/>
      <c r="W18" s="40"/>
      <c r="X18" s="27"/>
      <c r="Y18" s="40"/>
      <c r="Z18" s="39"/>
      <c r="AA18" s="40"/>
      <c r="AB18" s="40"/>
      <c r="AC18" s="40"/>
      <c r="AD18" s="40"/>
      <c r="AE18" s="27"/>
      <c r="AF18" s="40"/>
      <c r="AG18" s="205" t="str">
        <f t="shared" si="2"/>
        <v>out</v>
      </c>
      <c r="AH18" s="188"/>
      <c r="AI18" s="213"/>
      <c r="AJ18" s="214"/>
      <c r="AK18" s="209"/>
      <c r="AL18" s="209"/>
      <c r="AM18" s="209"/>
      <c r="AN18" s="208"/>
      <c r="AO18" s="209"/>
      <c r="AP18" s="209"/>
      <c r="AQ18" s="119"/>
    </row>
    <row r="19" spans="1:43" s="38" customFormat="1" ht="15" hidden="1" customHeight="1" outlineLevel="1" x14ac:dyDescent="0.2">
      <c r="A19" s="212" t="s">
        <v>74</v>
      </c>
      <c r="B19" s="40"/>
      <c r="C19" s="40"/>
      <c r="D19" s="40"/>
      <c r="E19" s="27"/>
      <c r="F19" s="40"/>
      <c r="G19" s="40"/>
      <c r="H19" s="40"/>
      <c r="I19" s="40"/>
      <c r="J19" s="27"/>
      <c r="K19" s="40"/>
      <c r="L19" s="27"/>
      <c r="M19" s="40"/>
      <c r="N19" s="40"/>
      <c r="O19" s="40"/>
      <c r="P19" s="40"/>
      <c r="Q19" s="27"/>
      <c r="R19" s="40"/>
      <c r="S19" s="27"/>
      <c r="T19" s="27"/>
      <c r="U19" s="40"/>
      <c r="V19" s="40"/>
      <c r="W19" s="40"/>
      <c r="X19" s="27"/>
      <c r="Y19" s="40"/>
      <c r="Z19" s="39"/>
      <c r="AA19" s="40"/>
      <c r="AB19" s="40"/>
      <c r="AC19" s="40"/>
      <c r="AD19" s="40"/>
      <c r="AE19" s="27"/>
      <c r="AF19" s="40"/>
      <c r="AG19" s="205" t="str">
        <f t="shared" si="2"/>
        <v>in</v>
      </c>
      <c r="AH19" s="188"/>
      <c r="AI19" s="213"/>
      <c r="AJ19" s="214"/>
      <c r="AK19" s="209"/>
      <c r="AL19" s="209"/>
      <c r="AM19" s="209"/>
      <c r="AN19" s="208"/>
      <c r="AO19" s="209"/>
      <c r="AP19" s="209"/>
      <c r="AQ19" s="119"/>
    </row>
    <row r="20" spans="1:43" s="38" customFormat="1" ht="15" hidden="1" customHeight="1" outlineLevel="1" x14ac:dyDescent="0.2">
      <c r="A20" s="212" t="s">
        <v>75</v>
      </c>
      <c r="B20" s="40"/>
      <c r="C20" s="40"/>
      <c r="D20" s="40"/>
      <c r="E20" s="27"/>
      <c r="F20" s="40"/>
      <c r="G20" s="40"/>
      <c r="H20" s="40"/>
      <c r="I20" s="40"/>
      <c r="J20" s="27"/>
      <c r="K20" s="40"/>
      <c r="L20" s="27"/>
      <c r="M20" s="40"/>
      <c r="N20" s="40"/>
      <c r="O20" s="40"/>
      <c r="P20" s="40"/>
      <c r="Q20" s="27"/>
      <c r="R20" s="40"/>
      <c r="S20" s="27"/>
      <c r="T20" s="27"/>
      <c r="U20" s="40"/>
      <c r="V20" s="40"/>
      <c r="W20" s="40"/>
      <c r="X20" s="27"/>
      <c r="Y20" s="40"/>
      <c r="Z20" s="39"/>
      <c r="AA20" s="40"/>
      <c r="AB20" s="40"/>
      <c r="AC20" s="40"/>
      <c r="AD20" s="40"/>
      <c r="AE20" s="27"/>
      <c r="AF20" s="40"/>
      <c r="AG20" s="205" t="str">
        <f t="shared" si="2"/>
        <v>out</v>
      </c>
      <c r="AH20" s="188"/>
      <c r="AI20" s="213"/>
      <c r="AJ20" s="214"/>
      <c r="AK20" s="209"/>
      <c r="AL20" s="209"/>
      <c r="AM20" s="209"/>
      <c r="AN20" s="208"/>
      <c r="AO20" s="209"/>
      <c r="AP20" s="209"/>
      <c r="AQ20" s="119"/>
    </row>
    <row r="21" spans="1:43" s="38" customFormat="1" ht="15" hidden="1" customHeight="1" outlineLevel="1" x14ac:dyDescent="0.2">
      <c r="A21" s="212" t="s">
        <v>74</v>
      </c>
      <c r="B21" s="40"/>
      <c r="C21" s="40"/>
      <c r="D21" s="40"/>
      <c r="E21" s="27"/>
      <c r="F21" s="40"/>
      <c r="G21" s="40"/>
      <c r="H21" s="40"/>
      <c r="I21" s="40"/>
      <c r="J21" s="27"/>
      <c r="K21" s="40"/>
      <c r="L21" s="27"/>
      <c r="M21" s="40"/>
      <c r="N21" s="40"/>
      <c r="O21" s="40"/>
      <c r="P21" s="40"/>
      <c r="Q21" s="27"/>
      <c r="R21" s="40"/>
      <c r="S21" s="27"/>
      <c r="T21" s="27"/>
      <c r="U21" s="40"/>
      <c r="V21" s="40"/>
      <c r="W21" s="40"/>
      <c r="X21" s="27"/>
      <c r="Y21" s="40"/>
      <c r="Z21" s="39"/>
      <c r="AA21" s="40"/>
      <c r="AB21" s="40"/>
      <c r="AC21" s="40"/>
      <c r="AD21" s="40"/>
      <c r="AE21" s="27"/>
      <c r="AF21" s="40"/>
      <c r="AG21" s="205" t="str">
        <f t="shared" si="2"/>
        <v>in</v>
      </c>
      <c r="AH21" s="188"/>
      <c r="AI21" s="213"/>
      <c r="AJ21" s="214"/>
      <c r="AK21" s="209"/>
      <c r="AL21" s="209"/>
      <c r="AM21" s="209"/>
      <c r="AN21" s="208"/>
      <c r="AO21" s="209"/>
      <c r="AP21" s="209"/>
      <c r="AQ21" s="119"/>
    </row>
    <row r="22" spans="1:43" s="38" customFormat="1" ht="15" hidden="1" customHeight="1" outlineLevel="1" x14ac:dyDescent="0.2">
      <c r="A22" s="212" t="s">
        <v>75</v>
      </c>
      <c r="B22" s="40"/>
      <c r="C22" s="40"/>
      <c r="D22" s="40"/>
      <c r="E22" s="27"/>
      <c r="F22" s="40"/>
      <c r="G22" s="40"/>
      <c r="H22" s="40"/>
      <c r="I22" s="40"/>
      <c r="J22" s="27"/>
      <c r="K22" s="40"/>
      <c r="L22" s="27"/>
      <c r="M22" s="40"/>
      <c r="N22" s="40"/>
      <c r="O22" s="40"/>
      <c r="P22" s="40"/>
      <c r="Q22" s="27"/>
      <c r="R22" s="40"/>
      <c r="S22" s="27"/>
      <c r="T22" s="27"/>
      <c r="U22" s="40"/>
      <c r="V22" s="40"/>
      <c r="W22" s="40"/>
      <c r="X22" s="27"/>
      <c r="Y22" s="40"/>
      <c r="Z22" s="39"/>
      <c r="AA22" s="40"/>
      <c r="AB22" s="40"/>
      <c r="AC22" s="40"/>
      <c r="AD22" s="40"/>
      <c r="AE22" s="27"/>
      <c r="AF22" s="40"/>
      <c r="AG22" s="205" t="str">
        <f t="shared" si="2"/>
        <v>out</v>
      </c>
      <c r="AH22" s="188"/>
      <c r="AI22" s="213"/>
      <c r="AJ22" s="214"/>
      <c r="AK22" s="209"/>
      <c r="AL22" s="209"/>
      <c r="AM22" s="209"/>
      <c r="AN22" s="208"/>
      <c r="AO22" s="209"/>
      <c r="AP22" s="209"/>
      <c r="AQ22" s="119"/>
    </row>
    <row r="23" spans="1:43" s="38" customFormat="1" ht="15" customHeight="1" collapsed="1" x14ac:dyDescent="0.2">
      <c r="A23" s="215" t="s">
        <v>204</v>
      </c>
      <c r="B23" s="216">
        <f>ROUND(((B14-B13)+(B16-B15)+(B18-B17)+(B20-B19)+(B22-B21))*1440,0)/1440</f>
        <v>0</v>
      </c>
      <c r="C23" s="216">
        <f t="shared" ref="C23:AF23" si="5">ROUND(((C14-C13)+(C16-C15)+(C18-C17)+(C20-C19)+(C22-C21))*1440,0)/1440</f>
        <v>0</v>
      </c>
      <c r="D23" s="216">
        <f t="shared" si="5"/>
        <v>0</v>
      </c>
      <c r="E23" s="216">
        <f t="shared" si="5"/>
        <v>0</v>
      </c>
      <c r="F23" s="216">
        <f t="shared" si="5"/>
        <v>0</v>
      </c>
      <c r="G23" s="216">
        <f t="shared" si="5"/>
        <v>0</v>
      </c>
      <c r="H23" s="216">
        <f t="shared" si="5"/>
        <v>0</v>
      </c>
      <c r="I23" s="216">
        <f t="shared" si="5"/>
        <v>0</v>
      </c>
      <c r="J23" s="216">
        <f t="shared" si="5"/>
        <v>0</v>
      </c>
      <c r="K23" s="216">
        <f t="shared" si="5"/>
        <v>0</v>
      </c>
      <c r="L23" s="216">
        <f t="shared" si="5"/>
        <v>0</v>
      </c>
      <c r="M23" s="216">
        <f t="shared" si="5"/>
        <v>0</v>
      </c>
      <c r="N23" s="216">
        <f t="shared" si="5"/>
        <v>0</v>
      </c>
      <c r="O23" s="216">
        <f t="shared" si="5"/>
        <v>0</v>
      </c>
      <c r="P23" s="216">
        <f t="shared" si="5"/>
        <v>0</v>
      </c>
      <c r="Q23" s="216">
        <f t="shared" si="5"/>
        <v>0</v>
      </c>
      <c r="R23" s="216">
        <f t="shared" si="5"/>
        <v>0</v>
      </c>
      <c r="S23" s="216">
        <f t="shared" si="5"/>
        <v>0</v>
      </c>
      <c r="T23" s="216">
        <f t="shared" si="5"/>
        <v>0</v>
      </c>
      <c r="U23" s="216">
        <f t="shared" si="5"/>
        <v>0</v>
      </c>
      <c r="V23" s="216">
        <f t="shared" si="5"/>
        <v>0</v>
      </c>
      <c r="W23" s="216">
        <f t="shared" si="5"/>
        <v>0</v>
      </c>
      <c r="X23" s="216">
        <f t="shared" si="5"/>
        <v>0</v>
      </c>
      <c r="Y23" s="216">
        <f t="shared" si="5"/>
        <v>0</v>
      </c>
      <c r="Z23" s="216">
        <f t="shared" si="5"/>
        <v>0</v>
      </c>
      <c r="AA23" s="216">
        <f t="shared" si="5"/>
        <v>0</v>
      </c>
      <c r="AB23" s="216">
        <f t="shared" si="5"/>
        <v>0</v>
      </c>
      <c r="AC23" s="216">
        <f t="shared" si="5"/>
        <v>0</v>
      </c>
      <c r="AD23" s="216">
        <f t="shared" si="5"/>
        <v>0</v>
      </c>
      <c r="AE23" s="216">
        <f t="shared" si="5"/>
        <v>0</v>
      </c>
      <c r="AF23" s="216">
        <f t="shared" si="5"/>
        <v>0</v>
      </c>
      <c r="AG23" s="217" t="str">
        <f t="shared" si="2"/>
        <v>Total in/out</v>
      </c>
      <c r="AH23" s="218"/>
      <c r="AI23" s="219">
        <f>SUM(B23:AF23)</f>
        <v>0</v>
      </c>
      <c r="AJ23" s="214"/>
      <c r="AK23" s="209"/>
      <c r="AL23" s="209"/>
      <c r="AM23" s="209"/>
      <c r="AN23" s="208"/>
      <c r="AO23" s="209"/>
      <c r="AP23" s="209"/>
      <c r="AQ23" s="119"/>
    </row>
    <row r="24" spans="1:43" s="38" customFormat="1" ht="3.75" hidden="1" customHeight="1" outlineLevel="1" x14ac:dyDescent="0.2">
      <c r="A24" s="220"/>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2"/>
      <c r="AG24" s="205"/>
      <c r="AH24" s="188"/>
      <c r="AI24" s="213"/>
      <c r="AJ24" s="214"/>
      <c r="AK24" s="209"/>
      <c r="AL24" s="209"/>
      <c r="AM24" s="209"/>
      <c r="AN24" s="208"/>
      <c r="AO24" s="209"/>
      <c r="AP24" s="209"/>
      <c r="AQ24" s="119"/>
    </row>
    <row r="25" spans="1:43" s="38" customFormat="1" ht="15" hidden="1" customHeight="1" outlineLevel="1" x14ac:dyDescent="0.2">
      <c r="A25" s="212" t="s">
        <v>164</v>
      </c>
      <c r="B25" s="40"/>
      <c r="C25" s="40"/>
      <c r="D25" s="40"/>
      <c r="E25" s="77"/>
      <c r="F25" s="40"/>
      <c r="G25" s="40"/>
      <c r="H25" s="40"/>
      <c r="I25" s="40"/>
      <c r="J25" s="40"/>
      <c r="K25" s="40"/>
      <c r="L25" s="40"/>
      <c r="M25" s="40"/>
      <c r="N25" s="40"/>
      <c r="O25" s="40"/>
      <c r="P25" s="40"/>
      <c r="Q25" s="40"/>
      <c r="R25" s="40"/>
      <c r="S25" s="40"/>
      <c r="T25" s="40"/>
      <c r="U25" s="40"/>
      <c r="V25" s="40"/>
      <c r="W25" s="40"/>
      <c r="X25" s="40"/>
      <c r="Y25" s="40"/>
      <c r="Z25" s="47"/>
      <c r="AA25" s="40"/>
      <c r="AB25" s="40"/>
      <c r="AC25" s="40"/>
      <c r="AD25" s="40"/>
      <c r="AE25" s="40"/>
      <c r="AF25" s="40"/>
      <c r="AG25" s="205" t="str">
        <f t="shared" ref="AG25:AG30" si="6">A25</f>
        <v>paid break in</v>
      </c>
      <c r="AH25" s="188"/>
      <c r="AI25" s="213"/>
      <c r="AJ25" s="214"/>
      <c r="AK25" s="209"/>
      <c r="AL25" s="209"/>
      <c r="AM25" s="209"/>
      <c r="AN25" s="208"/>
      <c r="AO25" s="209"/>
      <c r="AP25" s="209"/>
      <c r="AQ25" s="119"/>
    </row>
    <row r="26" spans="1:43" s="38" customFormat="1" ht="15" hidden="1" customHeight="1" outlineLevel="1" x14ac:dyDescent="0.2">
      <c r="A26" s="212" t="s">
        <v>165</v>
      </c>
      <c r="B26" s="40"/>
      <c r="C26" s="40"/>
      <c r="D26" s="40"/>
      <c r="E26" s="40"/>
      <c r="F26" s="40"/>
      <c r="G26" s="40"/>
      <c r="H26" s="40"/>
      <c r="I26" s="40"/>
      <c r="J26" s="40"/>
      <c r="K26" s="40"/>
      <c r="L26" s="40"/>
      <c r="M26" s="40"/>
      <c r="N26" s="40"/>
      <c r="O26" s="40"/>
      <c r="P26" s="40"/>
      <c r="Q26" s="40"/>
      <c r="R26" s="40"/>
      <c r="S26" s="40"/>
      <c r="T26" s="40"/>
      <c r="U26" s="40"/>
      <c r="V26" s="40"/>
      <c r="W26" s="40"/>
      <c r="X26" s="40"/>
      <c r="Y26" s="40"/>
      <c r="Z26" s="47"/>
      <c r="AA26" s="40"/>
      <c r="AB26" s="40"/>
      <c r="AC26" s="40"/>
      <c r="AD26" s="40"/>
      <c r="AE26" s="40"/>
      <c r="AF26" s="40"/>
      <c r="AG26" s="205" t="str">
        <f t="shared" si="6"/>
        <v>paid break out</v>
      </c>
      <c r="AH26" s="188"/>
      <c r="AI26" s="213"/>
      <c r="AJ26" s="214"/>
      <c r="AK26" s="209"/>
      <c r="AL26" s="209"/>
      <c r="AM26" s="209"/>
      <c r="AN26" s="208"/>
      <c r="AO26" s="209"/>
      <c r="AP26" s="209"/>
      <c r="AQ26" s="119"/>
    </row>
    <row r="27" spans="1:43" s="38" customFormat="1" ht="15" hidden="1" customHeight="1" outlineLevel="1" x14ac:dyDescent="0.2">
      <c r="A27" s="212" t="s">
        <v>164</v>
      </c>
      <c r="B27" s="40"/>
      <c r="C27" s="40"/>
      <c r="D27" s="40"/>
      <c r="E27" s="40"/>
      <c r="F27" s="40"/>
      <c r="G27" s="40"/>
      <c r="H27" s="40"/>
      <c r="I27" s="40"/>
      <c r="J27" s="40"/>
      <c r="K27" s="40"/>
      <c r="L27" s="40"/>
      <c r="M27" s="40"/>
      <c r="N27" s="40"/>
      <c r="O27" s="40"/>
      <c r="P27" s="40"/>
      <c r="Q27" s="40"/>
      <c r="R27" s="40"/>
      <c r="S27" s="40"/>
      <c r="T27" s="40"/>
      <c r="U27" s="40"/>
      <c r="V27" s="40"/>
      <c r="W27" s="40"/>
      <c r="X27" s="40"/>
      <c r="Y27" s="40"/>
      <c r="Z27" s="47"/>
      <c r="AA27" s="40"/>
      <c r="AB27" s="40"/>
      <c r="AC27" s="40"/>
      <c r="AD27" s="40"/>
      <c r="AE27" s="40"/>
      <c r="AF27" s="40"/>
      <c r="AG27" s="205" t="str">
        <f t="shared" si="6"/>
        <v>paid break in</v>
      </c>
      <c r="AH27" s="188"/>
      <c r="AI27" s="213"/>
      <c r="AJ27" s="214"/>
      <c r="AK27" s="209"/>
      <c r="AL27" s="209"/>
      <c r="AM27" s="209"/>
      <c r="AN27" s="208"/>
      <c r="AO27" s="209"/>
      <c r="AP27" s="209"/>
      <c r="AQ27" s="119"/>
    </row>
    <row r="28" spans="1:43" s="38" customFormat="1" ht="15" hidden="1" customHeight="1" outlineLevel="1" x14ac:dyDescent="0.2">
      <c r="A28" s="212" t="s">
        <v>165</v>
      </c>
      <c r="B28" s="40"/>
      <c r="C28" s="40"/>
      <c r="D28" s="40"/>
      <c r="E28" s="40"/>
      <c r="F28" s="40"/>
      <c r="G28" s="40"/>
      <c r="H28" s="40"/>
      <c r="I28" s="40"/>
      <c r="J28" s="40"/>
      <c r="K28" s="40"/>
      <c r="L28" s="40"/>
      <c r="M28" s="40"/>
      <c r="N28" s="40"/>
      <c r="O28" s="40"/>
      <c r="P28" s="40"/>
      <c r="Q28" s="40"/>
      <c r="R28" s="40"/>
      <c r="S28" s="40"/>
      <c r="T28" s="40"/>
      <c r="U28" s="40"/>
      <c r="V28" s="40"/>
      <c r="W28" s="40"/>
      <c r="X28" s="40"/>
      <c r="Y28" s="40"/>
      <c r="Z28" s="47"/>
      <c r="AA28" s="40"/>
      <c r="AB28" s="40"/>
      <c r="AC28" s="40"/>
      <c r="AD28" s="40"/>
      <c r="AE28" s="40"/>
      <c r="AF28" s="40"/>
      <c r="AG28" s="205" t="str">
        <f t="shared" si="6"/>
        <v>paid break out</v>
      </c>
      <c r="AH28" s="188"/>
      <c r="AI28" s="213"/>
      <c r="AJ28" s="214"/>
      <c r="AK28" s="209"/>
      <c r="AL28" s="209"/>
      <c r="AM28" s="209"/>
      <c r="AN28" s="208"/>
      <c r="AO28" s="209"/>
      <c r="AP28" s="209"/>
      <c r="AQ28" s="119"/>
    </row>
    <row r="29" spans="1:43" s="38" customFormat="1" ht="15" hidden="1" customHeight="1" outlineLevel="1" x14ac:dyDescent="0.2">
      <c r="A29" s="212" t="s">
        <v>164</v>
      </c>
      <c r="B29" s="40"/>
      <c r="C29" s="40"/>
      <c r="D29" s="40"/>
      <c r="E29" s="40"/>
      <c r="F29" s="40"/>
      <c r="G29" s="40"/>
      <c r="H29" s="40"/>
      <c r="I29" s="40"/>
      <c r="J29" s="40"/>
      <c r="K29" s="40"/>
      <c r="L29" s="40"/>
      <c r="M29" s="40"/>
      <c r="N29" s="40"/>
      <c r="O29" s="40"/>
      <c r="P29" s="40"/>
      <c r="Q29" s="40"/>
      <c r="R29" s="40"/>
      <c r="S29" s="40"/>
      <c r="T29" s="40"/>
      <c r="U29" s="40"/>
      <c r="V29" s="40"/>
      <c r="W29" s="40"/>
      <c r="X29" s="40"/>
      <c r="Y29" s="40"/>
      <c r="Z29" s="47"/>
      <c r="AA29" s="40"/>
      <c r="AB29" s="40"/>
      <c r="AC29" s="40"/>
      <c r="AD29" s="40"/>
      <c r="AE29" s="40"/>
      <c r="AF29" s="40"/>
      <c r="AG29" s="205" t="str">
        <f t="shared" si="6"/>
        <v>paid break in</v>
      </c>
      <c r="AH29" s="188"/>
      <c r="AI29" s="213"/>
      <c r="AJ29" s="214"/>
      <c r="AK29" s="209"/>
      <c r="AL29" s="209"/>
      <c r="AM29" s="209"/>
      <c r="AN29" s="208"/>
      <c r="AO29" s="209"/>
      <c r="AP29" s="209"/>
      <c r="AQ29" s="119"/>
    </row>
    <row r="30" spans="1:43" s="38" customFormat="1" ht="15" hidden="1" customHeight="1" outlineLevel="1" x14ac:dyDescent="0.2">
      <c r="A30" s="212" t="s">
        <v>165</v>
      </c>
      <c r="B30" s="40"/>
      <c r="C30" s="40"/>
      <c r="D30" s="40"/>
      <c r="E30" s="40"/>
      <c r="F30" s="40"/>
      <c r="G30" s="40"/>
      <c r="H30" s="40"/>
      <c r="I30" s="40"/>
      <c r="J30" s="40"/>
      <c r="K30" s="40"/>
      <c r="L30" s="40"/>
      <c r="M30" s="40"/>
      <c r="N30" s="40"/>
      <c r="O30" s="40"/>
      <c r="P30" s="40"/>
      <c r="Q30" s="40"/>
      <c r="R30" s="40"/>
      <c r="S30" s="40"/>
      <c r="T30" s="40"/>
      <c r="U30" s="40"/>
      <c r="V30" s="40"/>
      <c r="W30" s="40"/>
      <c r="X30" s="40"/>
      <c r="Y30" s="40"/>
      <c r="Z30" s="47"/>
      <c r="AA30" s="40"/>
      <c r="AB30" s="40"/>
      <c r="AC30" s="40"/>
      <c r="AD30" s="40"/>
      <c r="AE30" s="40"/>
      <c r="AF30" s="40"/>
      <c r="AG30" s="205" t="str">
        <f t="shared" si="6"/>
        <v>paid break out</v>
      </c>
      <c r="AH30" s="188"/>
      <c r="AI30" s="213"/>
      <c r="AJ30" s="214"/>
      <c r="AK30" s="209"/>
      <c r="AL30" s="209"/>
      <c r="AM30" s="209"/>
      <c r="AN30" s="208"/>
      <c r="AO30" s="209"/>
      <c r="AP30" s="209"/>
      <c r="AQ30" s="119"/>
    </row>
    <row r="31" spans="1:43" s="38" customFormat="1" ht="3.75" hidden="1" customHeight="1" outlineLevel="1" x14ac:dyDescent="0.2">
      <c r="A31" s="220"/>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4"/>
      <c r="AG31" s="205"/>
      <c r="AH31" s="188"/>
      <c r="AI31" s="213"/>
      <c r="AJ31" s="214"/>
      <c r="AK31" s="209"/>
      <c r="AL31" s="209"/>
      <c r="AM31" s="209"/>
      <c r="AN31" s="208"/>
      <c r="AO31" s="209"/>
      <c r="AP31" s="209"/>
      <c r="AQ31" s="119"/>
    </row>
    <row r="32" spans="1:43" s="38" customFormat="1" ht="15" hidden="1" customHeight="1" outlineLevel="1" x14ac:dyDescent="0.2">
      <c r="A32" s="215" t="s">
        <v>205</v>
      </c>
      <c r="B32" s="225">
        <f>ROUND((IF(MAX(0,B15-B14)&lt;1/24/60*180,MAX(0,B15-B14),0)+IF(MAX(0,B17-B16)&lt;1/24/60*180,MAX(0,B17-B16),0)+IF(MAX(0,B19-B18)&lt;1/24/60*180,MAX(0,B19-B18),0)+IF(MAX(0,B21-B20)&lt;1/24/60*180,MAX(0,B21-B20))+MAX(0,B26-B25)+MAX(0,B28-B27)+MAX(0,B30-B29))*1440,0)/1440</f>
        <v>0</v>
      </c>
      <c r="C32" s="225">
        <f t="shared" ref="C32:AF32" si="7">ROUND((IF(MAX(0,C15-C14)&lt;1/24/60*180,MAX(0,C15-C14),0)+IF(MAX(0,C17-C16)&lt;1/24/60*180,MAX(0,C17-C16),0)+IF(MAX(0,C19-C18)&lt;1/24/60*180,MAX(0,C19-C18),0)+IF(MAX(0,C21-C20)&lt;1/24/60*180,MAX(0,C21-C20))+MAX(0,C26-C25)+MAX(0,C28-C27)+MAX(0,C30-C29))*1440,0)/1440</f>
        <v>0</v>
      </c>
      <c r="D32" s="225">
        <f t="shared" si="7"/>
        <v>0</v>
      </c>
      <c r="E32" s="225">
        <f t="shared" si="7"/>
        <v>0</v>
      </c>
      <c r="F32" s="225">
        <f t="shared" si="7"/>
        <v>0</v>
      </c>
      <c r="G32" s="225">
        <f t="shared" si="7"/>
        <v>0</v>
      </c>
      <c r="H32" s="225">
        <f t="shared" si="7"/>
        <v>0</v>
      </c>
      <c r="I32" s="225">
        <f t="shared" si="7"/>
        <v>0</v>
      </c>
      <c r="J32" s="225">
        <f t="shared" si="7"/>
        <v>0</v>
      </c>
      <c r="K32" s="225">
        <f t="shared" si="7"/>
        <v>0</v>
      </c>
      <c r="L32" s="225">
        <f t="shared" si="7"/>
        <v>0</v>
      </c>
      <c r="M32" s="225">
        <f t="shared" si="7"/>
        <v>0</v>
      </c>
      <c r="N32" s="225">
        <f t="shared" si="7"/>
        <v>0</v>
      </c>
      <c r="O32" s="225">
        <f t="shared" si="7"/>
        <v>0</v>
      </c>
      <c r="P32" s="225">
        <f t="shared" si="7"/>
        <v>0</v>
      </c>
      <c r="Q32" s="225">
        <f t="shared" si="7"/>
        <v>0</v>
      </c>
      <c r="R32" s="225">
        <f t="shared" si="7"/>
        <v>0</v>
      </c>
      <c r="S32" s="225">
        <f t="shared" si="7"/>
        <v>0</v>
      </c>
      <c r="T32" s="225">
        <f t="shared" si="7"/>
        <v>0</v>
      </c>
      <c r="U32" s="225">
        <f t="shared" si="7"/>
        <v>0</v>
      </c>
      <c r="V32" s="225">
        <f t="shared" si="7"/>
        <v>0</v>
      </c>
      <c r="W32" s="225">
        <f t="shared" si="7"/>
        <v>0</v>
      </c>
      <c r="X32" s="225">
        <f t="shared" si="7"/>
        <v>0</v>
      </c>
      <c r="Y32" s="225">
        <f t="shared" si="7"/>
        <v>0</v>
      </c>
      <c r="Z32" s="225">
        <f t="shared" si="7"/>
        <v>0</v>
      </c>
      <c r="AA32" s="225">
        <f t="shared" si="7"/>
        <v>0</v>
      </c>
      <c r="AB32" s="225">
        <f t="shared" si="7"/>
        <v>0</v>
      </c>
      <c r="AC32" s="225">
        <f t="shared" si="7"/>
        <v>0</v>
      </c>
      <c r="AD32" s="225">
        <f t="shared" si="7"/>
        <v>0</v>
      </c>
      <c r="AE32" s="225">
        <f t="shared" si="7"/>
        <v>0</v>
      </c>
      <c r="AF32" s="225">
        <f t="shared" si="7"/>
        <v>0</v>
      </c>
      <c r="AG32" s="217" t="str">
        <f t="shared" ref="AG32" si="8">A32</f>
        <v>Total breaks (in out/paid)</v>
      </c>
      <c r="AH32" s="218"/>
      <c r="AI32" s="219">
        <f>SUM(B32:AF32)</f>
        <v>0</v>
      </c>
      <c r="AJ32" s="214"/>
      <c r="AK32" s="209"/>
      <c r="AL32" s="209"/>
      <c r="AM32" s="209"/>
      <c r="AN32" s="208"/>
      <c r="AO32" s="209"/>
      <c r="AP32" s="209"/>
      <c r="AQ32" s="119"/>
    </row>
    <row r="33" spans="1:43" s="38" customFormat="1" ht="3.75" customHeight="1" collapsed="1" x14ac:dyDescent="0.2">
      <c r="A33" s="220"/>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7"/>
      <c r="AG33" s="205"/>
      <c r="AH33" s="188"/>
      <c r="AI33" s="213"/>
      <c r="AJ33" s="214"/>
      <c r="AK33" s="209"/>
      <c r="AL33" s="209"/>
      <c r="AM33" s="209"/>
      <c r="AN33" s="208"/>
      <c r="AO33" s="209"/>
      <c r="AP33" s="209"/>
      <c r="AQ33" s="119"/>
    </row>
    <row r="34" spans="1:43" s="38" customFormat="1" ht="15" customHeight="1" outlineLevel="1" x14ac:dyDescent="0.2">
      <c r="A34" s="212" t="s">
        <v>206</v>
      </c>
      <c r="B34" s="92" t="str">
        <f ca="1">IF(EB.Anwendung&lt;&gt;"",IF(EB.Wochenarbeitszeit=50/24,INDEX(T.Pikett.Bereich,1),IF(DAY(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34="B",INDEX(T.Pikett.Bereich,4),IF(A34="E",INDEX(T.Pikett.Bereich,1),A34)))),"")</f>
        <v>No</v>
      </c>
      <c r="C34" s="92" t="str">
        <f ca="1">IF(EB.Anwendung&lt;&gt;"",IF(EB.Wochenarbeitszeit=50/24,INDEX(T.Pikett.Bereich,1),IF(DAY(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B34="B",INDEX(T.Pikett.Bereich,4),IF(B34="E",INDEX(T.Pikett.Bereich,1),B34)))),"")</f>
        <v>No</v>
      </c>
      <c r="D34" s="92" t="str">
        <f ca="1">IF(EB.Anwendung&lt;&gt;"",IF(EB.Wochenarbeitszeit=50/24,INDEX(T.Pikett.Bereich,1),IF(DAY(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C34="B",INDEX(T.Pikett.Bereich,4),IF(C34="E",INDEX(T.Pikett.Bereich,1),C34)))),"")</f>
        <v>No</v>
      </c>
      <c r="E34" s="92" t="str">
        <f ca="1">IF(EB.Anwendung&lt;&gt;"",IF(EB.Wochenarbeitszeit=50/24,INDEX(T.Pikett.Bereich,1),IF(DAY(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D34="B",INDEX(T.Pikett.Bereich,4),IF(D34="E",INDEX(T.Pikett.Bereich,1),D34)))),"")</f>
        <v>No</v>
      </c>
      <c r="F34" s="92" t="str">
        <f ca="1">IF(EB.Anwendung&lt;&gt;"",IF(EB.Wochenarbeitszeit=50/24,INDEX(T.Pikett.Bereich,1),IF(DAY(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E34="B",INDEX(T.Pikett.Bereich,4),IF(E34="E",INDEX(T.Pikett.Bereich,1),E34)))),"")</f>
        <v>No</v>
      </c>
      <c r="G34" s="92" t="str">
        <f ca="1">IF(EB.Anwendung&lt;&gt;"",IF(EB.Wochenarbeitszeit=50/24,INDEX(T.Pikett.Bereich,1),IF(DAY(G$10)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F34="B",INDEX(T.Pikett.Bereich,4),IF(F34="E",INDEX(T.Pikett.Bereich,1),F34)))),"")</f>
        <v>No</v>
      </c>
      <c r="H34" s="92" t="str">
        <f ca="1">IF(EB.Anwendung&lt;&gt;"",IF(EB.Wochenarbeitszeit=50/24,INDEX(T.Pikett.Bereich,1),IF(DAY(H$10)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G34="B",INDEX(T.Pikett.Bereich,4),IF(G34="E",INDEX(T.Pikett.Bereich,1),G34)))),"")</f>
        <v>No</v>
      </c>
      <c r="I34" s="92" t="str">
        <f ca="1">IF(EB.Anwendung&lt;&gt;"",IF(EB.Wochenarbeitszeit=50/24,INDEX(T.Pikett.Bereich,1),IF(DAY(I$10)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H34="B",INDEX(T.Pikett.Bereich,4),IF(H34="E",INDEX(T.Pikett.Bereich,1),H34)))),"")</f>
        <v>No</v>
      </c>
      <c r="J34" s="92" t="str">
        <f ca="1">IF(EB.Anwendung&lt;&gt;"",IF(EB.Wochenarbeitszeit=50/24,INDEX(T.Pikett.Bereich,1),IF(DAY(J$10)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I34="B",INDEX(T.Pikett.Bereich,4),IF(I34="E",INDEX(T.Pikett.Bereich,1),I34)))),"")</f>
        <v>No</v>
      </c>
      <c r="K34" s="92" t="str">
        <f ca="1">IF(EB.Anwendung&lt;&gt;"",IF(EB.Wochenarbeitszeit=50/24,INDEX(T.Pikett.Bereich,1),IF(DAY(K$10)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J34="B",INDEX(T.Pikett.Bereich,4),IF(J34="E",INDEX(T.Pikett.Bereich,1),J34)))),"")</f>
        <v>No</v>
      </c>
      <c r="L34" s="92" t="str">
        <f ca="1">IF(EB.Anwendung&lt;&gt;"",IF(EB.Wochenarbeitszeit=50/24,INDEX(T.Pikett.Bereich,1),IF(DAY(L$10)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K34="B",INDEX(T.Pikett.Bereich,4),IF(K34="E",INDEX(T.Pikett.Bereich,1),K34)))),"")</f>
        <v>No</v>
      </c>
      <c r="M34" s="92" t="str">
        <f ca="1">IF(EB.Anwendung&lt;&gt;"",IF(EB.Wochenarbeitszeit=50/24,INDEX(T.Pikett.Bereich,1),IF(DAY(M$10)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L34="B",INDEX(T.Pikett.Bereich,4),IF(L34="E",INDEX(T.Pikett.Bereich,1),L34)))),"")</f>
        <v>No</v>
      </c>
      <c r="N34" s="92" t="str">
        <f ca="1">IF(EB.Anwendung&lt;&gt;"",IF(EB.Wochenarbeitszeit=50/24,INDEX(T.Pikett.Bereich,1),IF(DAY(N$10)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M34="B",INDEX(T.Pikett.Bereich,4),IF(M34="E",INDEX(T.Pikett.Bereich,1),M34)))),"")</f>
        <v>No</v>
      </c>
      <c r="O34" s="92" t="str">
        <f ca="1">IF(EB.Anwendung&lt;&gt;"",IF(EB.Wochenarbeitszeit=50/24,INDEX(T.Pikett.Bereich,1),IF(DAY(O$10)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N34="B",INDEX(T.Pikett.Bereich,4),IF(N34="E",INDEX(T.Pikett.Bereich,1),N34)))),"")</f>
        <v>No</v>
      </c>
      <c r="P34" s="92" t="str">
        <f ca="1">IF(EB.Anwendung&lt;&gt;"",IF(EB.Wochenarbeitszeit=50/24,INDEX(T.Pikett.Bereich,1),IF(DAY(P$10)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O34="B",INDEX(T.Pikett.Bereich,4),IF(O34="E",INDEX(T.Pikett.Bereich,1),O34)))),"")</f>
        <v>No</v>
      </c>
      <c r="Q34" s="92" t="str">
        <f ca="1">IF(EB.Anwendung&lt;&gt;"",IF(EB.Wochenarbeitszeit=50/24,INDEX(T.Pikett.Bereich,1),IF(DAY(Q$10)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P34="B",INDEX(T.Pikett.Bereich,4),IF(P34="E",INDEX(T.Pikett.Bereich,1),P34)))),"")</f>
        <v>No</v>
      </c>
      <c r="R34" s="92" t="str">
        <f ca="1">IF(EB.Anwendung&lt;&gt;"",IF(EB.Wochenarbeitszeit=50/24,INDEX(T.Pikett.Bereich,1),IF(DAY(R$10)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Q34="B",INDEX(T.Pikett.Bereich,4),IF(Q34="E",INDEX(T.Pikett.Bereich,1),Q34)))),"")</f>
        <v>No</v>
      </c>
      <c r="S34" s="92" t="str">
        <f ca="1">IF(EB.Anwendung&lt;&gt;"",IF(EB.Wochenarbeitszeit=50/24,INDEX(T.Pikett.Bereich,1),IF(DAY(S$10)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R34="B",INDEX(T.Pikett.Bereich,4),IF(R34="E",INDEX(T.Pikett.Bereich,1),R34)))),"")</f>
        <v>No</v>
      </c>
      <c r="T34" s="92" t="str">
        <f ca="1">IF(EB.Anwendung&lt;&gt;"",IF(EB.Wochenarbeitszeit=50/24,INDEX(T.Pikett.Bereich,1),IF(DAY(T$10)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S34="B",INDEX(T.Pikett.Bereich,4),IF(S34="E",INDEX(T.Pikett.Bereich,1),S34)))),"")</f>
        <v>No</v>
      </c>
      <c r="U34" s="92" t="str">
        <f ca="1">IF(EB.Anwendung&lt;&gt;"",IF(EB.Wochenarbeitszeit=50/24,INDEX(T.Pikett.Bereich,1),IF(DAY(U$10)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T34="B",INDEX(T.Pikett.Bereich,4),IF(T34="E",INDEX(T.Pikett.Bereich,1),T34)))),"")</f>
        <v>No</v>
      </c>
      <c r="V34" s="92" t="str">
        <f ca="1">IF(EB.Anwendung&lt;&gt;"",IF(EB.Wochenarbeitszeit=50/24,INDEX(T.Pikett.Bereich,1),IF(DAY(V$10)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U34="B",INDEX(T.Pikett.Bereich,4),IF(U34="E",INDEX(T.Pikett.Bereich,1),U34)))),"")</f>
        <v>No</v>
      </c>
      <c r="W34" s="92" t="str">
        <f ca="1">IF(EB.Anwendung&lt;&gt;"",IF(EB.Wochenarbeitszeit=50/24,INDEX(T.Pikett.Bereich,1),IF(DAY(W$10)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V34="B",INDEX(T.Pikett.Bereich,4),IF(V34="E",INDEX(T.Pikett.Bereich,1),V34)))),"")</f>
        <v>No</v>
      </c>
      <c r="X34" s="92" t="str">
        <f ca="1">IF(EB.Anwendung&lt;&gt;"",IF(EB.Wochenarbeitszeit=50/24,INDEX(T.Pikett.Bereich,1),IF(DAY(X$10)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W34="B",INDEX(T.Pikett.Bereich,4),IF(W34="E",INDEX(T.Pikett.Bereich,1),W34)))),"")</f>
        <v>No</v>
      </c>
      <c r="Y34" s="92" t="str">
        <f ca="1">IF(EB.Anwendung&lt;&gt;"",IF(EB.Wochenarbeitszeit=50/24,INDEX(T.Pikett.Bereich,1),IF(DAY(Y$10)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X34="B",INDEX(T.Pikett.Bereich,4),IF(X34="E",INDEX(T.Pikett.Bereich,1),X34)))),"")</f>
        <v>No</v>
      </c>
      <c r="Z34" s="92" t="str">
        <f ca="1">IF(EB.Anwendung&lt;&gt;"",IF(EB.Wochenarbeitszeit=50/24,INDEX(T.Pikett.Bereich,1),IF(DAY(Z$10)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Y34="B",INDEX(T.Pikett.Bereich,4),IF(Y34="E",INDEX(T.Pikett.Bereich,1),Y34)))),"")</f>
        <v>No</v>
      </c>
      <c r="AA34" s="92" t="str">
        <f ca="1">IF(EB.Anwendung&lt;&gt;"",IF(EB.Wochenarbeitszeit=50/24,INDEX(T.Pikett.Bereich,1),IF(DAY(AA$10)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Z34="B",INDEX(T.Pikett.Bereich,4),IF(Z34="E",INDEX(T.Pikett.Bereich,1),Z34)))),"")</f>
        <v>No</v>
      </c>
      <c r="AB34" s="92" t="str">
        <f ca="1">IF(EB.Anwendung&lt;&gt;"",IF(EB.Wochenarbeitszeit=50/24,INDEX(T.Pikett.Bereich,1),IF(DAY(A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A34="B",INDEX(T.Pikett.Bereich,4),IF(AA34="E",INDEX(T.Pikett.Bereich,1),AA34)))),"")</f>
        <v>No</v>
      </c>
      <c r="AC34" s="92" t="str">
        <f ca="1">IF(EB.Anwendung&lt;&gt;"",IF(EB.Wochenarbeitszeit=50/24,INDEX(T.Pikett.Bereich,1),IF(DAY(A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B34="B",INDEX(T.Pikett.Bereich,4),IF(AB34="E",INDEX(T.Pikett.Bereich,1),AB34)))),"")</f>
        <v>No</v>
      </c>
      <c r="AD34" s="92" t="str">
        <f ca="1">IF(EB.Anwendung&lt;&gt;"",IF(EB.Wochenarbeitszeit=50/24,INDEX(T.Pikett.Bereich,1),IF(DAY(A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C34="B",INDEX(T.Pikett.Bereich,4),IF(AC34="E",INDEX(T.Pikett.Bereich,1),AC34)))),"")</f>
        <v>No</v>
      </c>
      <c r="AE34" s="92" t="str">
        <f ca="1">IF(EB.Anwendung&lt;&gt;"",IF(EB.Wochenarbeitszeit=50/24,INDEX(T.Pikett.Bereich,1),IF(DAY(A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D34="B",INDEX(T.Pikett.Bereich,4),IF(AD34="E",INDEX(T.Pikett.Bereich,1),AD34)))),"")</f>
        <v>No</v>
      </c>
      <c r="AF34" s="92" t="str">
        <f ca="1">IF(EB.Anwendung&lt;&gt;"",IF(EB.Wochenarbeitszeit=50/24,INDEX(T.Pikett.Bereich,1),IF(DAY(A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E34="B",INDEX(T.Pikett.Bereich,4),IF(AE34="E",INDEX(T.Pikett.Bereich,1),AE34)))),"")</f>
        <v>No</v>
      </c>
      <c r="AG34" s="217" t="str">
        <f ca="1">IF(OFFSET(B34,0,DAY(EOMONTH(Monat.Tag1,0))-1,1,1)="B",INDEX(T.Pikett.Bereich,4),IF(OFFSET(B34,0,DAY(EOMONTH(Monat.Tag1,0))-1,1,1)="E",INDEX(T.Pikett.Bereich,1),OFFSET(B34,0,DAY(EOMONTH(Monat.Tag1,0))-1,1,1)))</f>
        <v>No</v>
      </c>
      <c r="AH34" s="228"/>
      <c r="AI34" s="224"/>
      <c r="AJ34" s="229" t="str">
        <f ca="1">IF(T.50_Vetsuisse,IFERROR(SUMPRODUCT((B34:AF34=INDEX(T.Pikett.Bereich,4))*((B49:AF49)&lt;1/24*5)),0) &amp; " / " &amp; IFERROR(SUMPRODUCT((B34:AF34=INDEX(T.Pikett.Bereich,4))*((B49:AF49)&gt;=1/24*5)),0) &amp; " / " &amp; IFERROR(SUMPRODUCT((B34:AF34=INDEX(T.Pikett.Bereich,4))*((B49:AF49)&lt;1/24*5)),0) + IFERROR(SUMPRODUCT((B34:AF34=INDEX(T.Pikett.Bereich,4))*((B49:AF49)&gt;=1/24*5)),0),
IFERROR(SUMPRODUCT((B34:AF34=INDEX(T.Pikett.Bereich,4))*(WEEKDAY(B10:AF10,2)&lt;6)*(B11:AF11&lt;&gt;0)),0) &amp; " / " &amp; IFERROR(SUMPRODUCT((B34:AF34=INDEX(T.Pikett.Bereich,4))*(WEEKDAY(B10:AF10,2)&gt;5)*(B11:AF11&lt;&gt;0))+SUMPRODUCT((B34:AF34=INDEX(T.Pikett.Bereich,4))*(B11:AF11=0)),0) &amp; " / " &amp; IFERROR(SUMPRODUCT((B34:AF34=INDEX(T.Pikett.Bereich,4))*(WEEKDAY(B10:AF10,2)&lt;6)*(B11:AF11&lt;&gt;0)),0) + IFERROR(SUMPRODUCT((B34:AF34=INDEX(T.Pikett.Bereich,4))*(WEEKDAY(B10:AF10,2)&gt;5)*(B11:AF11&lt;&gt;0))+SUMPRODUCT((B34:AF34=INDEX(T.Pikett.Bereich,4))*(B11:AF11=0)),0))</f>
        <v>0 / 0 / 0</v>
      </c>
      <c r="AK34" s="209"/>
      <c r="AL34" s="209"/>
      <c r="AM34" s="209"/>
      <c r="AN34" s="208"/>
      <c r="AO34" s="209"/>
      <c r="AP34" s="209"/>
      <c r="AQ34" s="119"/>
    </row>
    <row r="35" spans="1:43" s="38" customFormat="1" ht="15" customHeight="1" outlineLevel="1" x14ac:dyDescent="0.2">
      <c r="A35" s="212" t="s">
        <v>74</v>
      </c>
      <c r="B35" s="40"/>
      <c r="C35" s="40"/>
      <c r="D35" s="40"/>
      <c r="E35" s="27"/>
      <c r="F35" s="40"/>
      <c r="G35" s="40"/>
      <c r="H35" s="40"/>
      <c r="I35" s="40"/>
      <c r="J35" s="27"/>
      <c r="K35" s="40"/>
      <c r="L35" s="27"/>
      <c r="M35" s="40"/>
      <c r="N35" s="40"/>
      <c r="O35" s="40"/>
      <c r="P35" s="40"/>
      <c r="Q35" s="27"/>
      <c r="R35" s="40"/>
      <c r="S35" s="27"/>
      <c r="T35" s="27"/>
      <c r="U35" s="40"/>
      <c r="V35" s="40"/>
      <c r="W35" s="40"/>
      <c r="X35" s="27"/>
      <c r="Y35" s="40"/>
      <c r="Z35" s="39"/>
      <c r="AA35" s="40"/>
      <c r="AB35" s="40"/>
      <c r="AC35" s="40"/>
      <c r="AD35" s="40"/>
      <c r="AE35" s="27"/>
      <c r="AF35" s="40"/>
      <c r="AG35" s="205" t="str">
        <f t="shared" si="2"/>
        <v>in</v>
      </c>
      <c r="AH35" s="188"/>
      <c r="AI35" s="213"/>
      <c r="AJ35" s="214"/>
      <c r="AK35" s="209"/>
      <c r="AL35" s="209"/>
      <c r="AM35" s="209"/>
      <c r="AN35" s="208"/>
      <c r="AO35" s="209"/>
      <c r="AP35" s="209"/>
      <c r="AQ35" s="119"/>
    </row>
    <row r="36" spans="1:43" s="38" customFormat="1" ht="15" customHeight="1" outlineLevel="1" x14ac:dyDescent="0.2">
      <c r="A36" s="212" t="s">
        <v>75</v>
      </c>
      <c r="B36" s="40"/>
      <c r="C36" s="40"/>
      <c r="D36" s="40"/>
      <c r="E36" s="27"/>
      <c r="F36" s="40"/>
      <c r="G36" s="40"/>
      <c r="H36" s="40"/>
      <c r="I36" s="40"/>
      <c r="J36" s="27"/>
      <c r="K36" s="40"/>
      <c r="L36" s="27"/>
      <c r="M36" s="40"/>
      <c r="N36" s="40"/>
      <c r="O36" s="40"/>
      <c r="P36" s="40"/>
      <c r="Q36" s="27"/>
      <c r="R36" s="40"/>
      <c r="S36" s="27"/>
      <c r="T36" s="27"/>
      <c r="U36" s="40"/>
      <c r="V36" s="40"/>
      <c r="W36" s="40"/>
      <c r="X36" s="27"/>
      <c r="Y36" s="40"/>
      <c r="Z36" s="39"/>
      <c r="AA36" s="40"/>
      <c r="AB36" s="40"/>
      <c r="AC36" s="40"/>
      <c r="AD36" s="40"/>
      <c r="AE36" s="27"/>
      <c r="AF36" s="40"/>
      <c r="AG36" s="205" t="str">
        <f t="shared" si="2"/>
        <v>out</v>
      </c>
      <c r="AH36" s="188"/>
      <c r="AI36" s="213"/>
      <c r="AJ36" s="214"/>
      <c r="AK36" s="209"/>
      <c r="AL36" s="209"/>
      <c r="AM36" s="209"/>
      <c r="AN36" s="208"/>
      <c r="AO36" s="209"/>
      <c r="AP36" s="209"/>
      <c r="AQ36" s="119"/>
    </row>
    <row r="37" spans="1:43" s="38" customFormat="1" ht="15" customHeight="1" outlineLevel="1" x14ac:dyDescent="0.2">
      <c r="A37" s="212" t="s">
        <v>74</v>
      </c>
      <c r="B37" s="40"/>
      <c r="C37" s="40"/>
      <c r="D37" s="40"/>
      <c r="E37" s="27"/>
      <c r="F37" s="40"/>
      <c r="G37" s="40"/>
      <c r="H37" s="40"/>
      <c r="I37" s="40"/>
      <c r="J37" s="27"/>
      <c r="K37" s="40"/>
      <c r="L37" s="27"/>
      <c r="M37" s="40"/>
      <c r="N37" s="40"/>
      <c r="O37" s="40"/>
      <c r="P37" s="40"/>
      <c r="Q37" s="27"/>
      <c r="R37" s="40"/>
      <c r="S37" s="27"/>
      <c r="T37" s="27"/>
      <c r="U37" s="40"/>
      <c r="V37" s="40"/>
      <c r="W37" s="40"/>
      <c r="X37" s="27"/>
      <c r="Y37" s="40"/>
      <c r="Z37" s="39"/>
      <c r="AA37" s="40"/>
      <c r="AB37" s="40"/>
      <c r="AC37" s="40"/>
      <c r="AD37" s="40"/>
      <c r="AE37" s="27"/>
      <c r="AF37" s="40"/>
      <c r="AG37" s="205" t="str">
        <f t="shared" si="2"/>
        <v>in</v>
      </c>
      <c r="AH37" s="188"/>
      <c r="AI37" s="213"/>
      <c r="AJ37" s="214"/>
      <c r="AK37" s="209"/>
      <c r="AL37" s="209"/>
      <c r="AM37" s="209"/>
      <c r="AN37" s="208"/>
      <c r="AO37" s="209"/>
      <c r="AP37" s="209"/>
      <c r="AQ37" s="119"/>
    </row>
    <row r="38" spans="1:43" s="38" customFormat="1" ht="15" customHeight="1" outlineLevel="1" x14ac:dyDescent="0.2">
      <c r="A38" s="212" t="s">
        <v>75</v>
      </c>
      <c r="B38" s="40"/>
      <c r="C38" s="40"/>
      <c r="D38" s="40"/>
      <c r="E38" s="27"/>
      <c r="F38" s="40"/>
      <c r="G38" s="40"/>
      <c r="H38" s="40"/>
      <c r="I38" s="40"/>
      <c r="J38" s="27"/>
      <c r="K38" s="40"/>
      <c r="L38" s="27"/>
      <c r="M38" s="40"/>
      <c r="N38" s="40"/>
      <c r="O38" s="40"/>
      <c r="P38" s="40"/>
      <c r="Q38" s="27"/>
      <c r="R38" s="40"/>
      <c r="S38" s="27"/>
      <c r="T38" s="27"/>
      <c r="U38" s="40"/>
      <c r="V38" s="40"/>
      <c r="W38" s="40"/>
      <c r="X38" s="27"/>
      <c r="Y38" s="40"/>
      <c r="Z38" s="39"/>
      <c r="AA38" s="40"/>
      <c r="AB38" s="40"/>
      <c r="AC38" s="40"/>
      <c r="AD38" s="40"/>
      <c r="AE38" s="27"/>
      <c r="AF38" s="40"/>
      <c r="AG38" s="205" t="str">
        <f t="shared" si="2"/>
        <v>out</v>
      </c>
      <c r="AH38" s="188"/>
      <c r="AI38" s="213"/>
      <c r="AJ38" s="214"/>
      <c r="AK38" s="209"/>
      <c r="AL38" s="209"/>
      <c r="AM38" s="209"/>
      <c r="AN38" s="208"/>
      <c r="AO38" s="209"/>
      <c r="AP38" s="209"/>
      <c r="AQ38" s="119"/>
    </row>
    <row r="39" spans="1:43" s="38" customFormat="1" ht="15" customHeight="1" outlineLevel="1" x14ac:dyDescent="0.2">
      <c r="A39" s="212" t="s">
        <v>74</v>
      </c>
      <c r="B39" s="40"/>
      <c r="C39" s="40"/>
      <c r="D39" s="40"/>
      <c r="E39" s="27"/>
      <c r="F39" s="40"/>
      <c r="G39" s="40"/>
      <c r="H39" s="40"/>
      <c r="I39" s="40"/>
      <c r="J39" s="27"/>
      <c r="K39" s="40"/>
      <c r="L39" s="27"/>
      <c r="M39" s="40"/>
      <c r="N39" s="40"/>
      <c r="O39" s="40"/>
      <c r="P39" s="40"/>
      <c r="Q39" s="27"/>
      <c r="R39" s="40"/>
      <c r="S39" s="27"/>
      <c r="T39" s="27"/>
      <c r="U39" s="40"/>
      <c r="V39" s="40"/>
      <c r="W39" s="40"/>
      <c r="X39" s="27"/>
      <c r="Y39" s="40"/>
      <c r="Z39" s="39"/>
      <c r="AA39" s="40"/>
      <c r="AB39" s="40"/>
      <c r="AC39" s="40"/>
      <c r="AD39" s="40"/>
      <c r="AE39" s="27"/>
      <c r="AF39" s="40"/>
      <c r="AG39" s="205" t="str">
        <f t="shared" si="2"/>
        <v>in</v>
      </c>
      <c r="AH39" s="188"/>
      <c r="AI39" s="213"/>
      <c r="AJ39" s="214"/>
      <c r="AK39" s="209"/>
      <c r="AL39" s="209"/>
      <c r="AM39" s="209"/>
      <c r="AN39" s="208"/>
      <c r="AO39" s="209"/>
      <c r="AP39" s="209"/>
      <c r="AQ39" s="119"/>
    </row>
    <row r="40" spans="1:43" s="38" customFormat="1" ht="15" customHeight="1" outlineLevel="1" x14ac:dyDescent="0.2">
      <c r="A40" s="212" t="s">
        <v>75</v>
      </c>
      <c r="B40" s="40"/>
      <c r="C40" s="40"/>
      <c r="D40" s="40"/>
      <c r="E40" s="27"/>
      <c r="F40" s="40"/>
      <c r="G40" s="40"/>
      <c r="H40" s="40"/>
      <c r="I40" s="40"/>
      <c r="J40" s="27"/>
      <c r="K40" s="40"/>
      <c r="L40" s="27"/>
      <c r="M40" s="40"/>
      <c r="N40" s="40"/>
      <c r="O40" s="40"/>
      <c r="P40" s="40"/>
      <c r="Q40" s="27"/>
      <c r="R40" s="40"/>
      <c r="S40" s="27"/>
      <c r="T40" s="27"/>
      <c r="U40" s="40"/>
      <c r="V40" s="40"/>
      <c r="W40" s="40"/>
      <c r="X40" s="27"/>
      <c r="Y40" s="40"/>
      <c r="Z40" s="39"/>
      <c r="AA40" s="40"/>
      <c r="AB40" s="40"/>
      <c r="AC40" s="40"/>
      <c r="AD40" s="40"/>
      <c r="AE40" s="27"/>
      <c r="AF40" s="40"/>
      <c r="AG40" s="205" t="str">
        <f t="shared" si="2"/>
        <v>out</v>
      </c>
      <c r="AH40" s="188"/>
      <c r="AI40" s="213"/>
      <c r="AJ40" s="214"/>
      <c r="AK40" s="209"/>
      <c r="AL40" s="209"/>
      <c r="AM40" s="209"/>
      <c r="AN40" s="208"/>
      <c r="AO40" s="209"/>
      <c r="AP40" s="209"/>
      <c r="AQ40" s="119"/>
    </row>
    <row r="41" spans="1:43" s="38" customFormat="1" ht="15" hidden="1" customHeight="1" outlineLevel="1" x14ac:dyDescent="0.2">
      <c r="A41" s="212" t="s">
        <v>74</v>
      </c>
      <c r="B41" s="40"/>
      <c r="C41" s="40"/>
      <c r="D41" s="40"/>
      <c r="E41" s="27"/>
      <c r="F41" s="40"/>
      <c r="G41" s="40"/>
      <c r="H41" s="40"/>
      <c r="I41" s="40"/>
      <c r="J41" s="27"/>
      <c r="K41" s="40"/>
      <c r="L41" s="27"/>
      <c r="M41" s="40"/>
      <c r="N41" s="40"/>
      <c r="O41" s="40"/>
      <c r="P41" s="40"/>
      <c r="Q41" s="27"/>
      <c r="R41" s="40"/>
      <c r="S41" s="27"/>
      <c r="T41" s="27"/>
      <c r="U41" s="40"/>
      <c r="V41" s="40"/>
      <c r="W41" s="40"/>
      <c r="X41" s="27"/>
      <c r="Y41" s="40"/>
      <c r="Z41" s="39"/>
      <c r="AA41" s="40"/>
      <c r="AB41" s="40"/>
      <c r="AC41" s="40"/>
      <c r="AD41" s="40"/>
      <c r="AE41" s="27"/>
      <c r="AF41" s="40"/>
      <c r="AG41" s="205" t="str">
        <f t="shared" si="2"/>
        <v>in</v>
      </c>
      <c r="AH41" s="188"/>
      <c r="AI41" s="213"/>
      <c r="AJ41" s="214"/>
      <c r="AK41" s="209"/>
      <c r="AL41" s="209"/>
      <c r="AM41" s="209"/>
      <c r="AN41" s="208"/>
      <c r="AO41" s="209"/>
      <c r="AP41" s="209"/>
      <c r="AQ41" s="119"/>
    </row>
    <row r="42" spans="1:43" s="38" customFormat="1" ht="15" hidden="1" customHeight="1" outlineLevel="1" x14ac:dyDescent="0.2">
      <c r="A42" s="212" t="s">
        <v>75</v>
      </c>
      <c r="B42" s="40"/>
      <c r="C42" s="40"/>
      <c r="D42" s="40"/>
      <c r="E42" s="27"/>
      <c r="F42" s="40"/>
      <c r="G42" s="40"/>
      <c r="H42" s="40"/>
      <c r="I42" s="40"/>
      <c r="J42" s="27"/>
      <c r="K42" s="40"/>
      <c r="L42" s="27"/>
      <c r="M42" s="40"/>
      <c r="N42" s="40"/>
      <c r="O42" s="40"/>
      <c r="P42" s="40"/>
      <c r="Q42" s="27"/>
      <c r="R42" s="40"/>
      <c r="S42" s="27"/>
      <c r="T42" s="27"/>
      <c r="U42" s="40"/>
      <c r="V42" s="40"/>
      <c r="W42" s="40"/>
      <c r="X42" s="27"/>
      <c r="Y42" s="40"/>
      <c r="Z42" s="39"/>
      <c r="AA42" s="40"/>
      <c r="AB42" s="40"/>
      <c r="AC42" s="40"/>
      <c r="AD42" s="40"/>
      <c r="AE42" s="27"/>
      <c r="AF42" s="40"/>
      <c r="AG42" s="205" t="str">
        <f t="shared" si="2"/>
        <v>out</v>
      </c>
      <c r="AH42" s="188"/>
      <c r="AI42" s="213"/>
      <c r="AJ42" s="214"/>
      <c r="AK42" s="209"/>
      <c r="AL42" s="209"/>
      <c r="AM42" s="209"/>
      <c r="AN42" s="208"/>
      <c r="AO42" s="209"/>
      <c r="AP42" s="209"/>
      <c r="AQ42" s="119"/>
    </row>
    <row r="43" spans="1:43" s="38" customFormat="1" ht="15" hidden="1" customHeight="1" outlineLevel="1" x14ac:dyDescent="0.2">
      <c r="A43" s="212" t="s">
        <v>74</v>
      </c>
      <c r="B43" s="40"/>
      <c r="C43" s="40"/>
      <c r="D43" s="40"/>
      <c r="E43" s="27"/>
      <c r="F43" s="40"/>
      <c r="G43" s="40"/>
      <c r="H43" s="40"/>
      <c r="I43" s="40"/>
      <c r="J43" s="27"/>
      <c r="K43" s="40"/>
      <c r="L43" s="27"/>
      <c r="M43" s="40"/>
      <c r="N43" s="40"/>
      <c r="O43" s="40"/>
      <c r="P43" s="40"/>
      <c r="Q43" s="27"/>
      <c r="R43" s="40"/>
      <c r="S43" s="27"/>
      <c r="T43" s="27"/>
      <c r="U43" s="40"/>
      <c r="V43" s="40"/>
      <c r="W43" s="40"/>
      <c r="X43" s="27"/>
      <c r="Y43" s="40"/>
      <c r="Z43" s="39"/>
      <c r="AA43" s="40"/>
      <c r="AB43" s="40"/>
      <c r="AC43" s="40"/>
      <c r="AD43" s="40"/>
      <c r="AE43" s="27"/>
      <c r="AF43" s="40"/>
      <c r="AG43" s="205" t="str">
        <f t="shared" si="2"/>
        <v>in</v>
      </c>
      <c r="AH43" s="188"/>
      <c r="AI43" s="213"/>
      <c r="AJ43" s="214"/>
      <c r="AK43" s="209"/>
      <c r="AL43" s="209"/>
      <c r="AM43" s="209"/>
      <c r="AN43" s="208"/>
      <c r="AO43" s="209"/>
      <c r="AP43" s="209"/>
      <c r="AQ43" s="119"/>
    </row>
    <row r="44" spans="1:43" s="38" customFormat="1" ht="15" hidden="1" customHeight="1" outlineLevel="1" x14ac:dyDescent="0.2">
      <c r="A44" s="212" t="s">
        <v>75</v>
      </c>
      <c r="B44" s="40"/>
      <c r="C44" s="40"/>
      <c r="D44" s="40"/>
      <c r="E44" s="27"/>
      <c r="F44" s="40"/>
      <c r="G44" s="40"/>
      <c r="H44" s="40"/>
      <c r="I44" s="40"/>
      <c r="J44" s="27"/>
      <c r="K44" s="40"/>
      <c r="L44" s="27"/>
      <c r="M44" s="40"/>
      <c r="N44" s="40"/>
      <c r="O44" s="40"/>
      <c r="P44" s="40"/>
      <c r="Q44" s="27"/>
      <c r="R44" s="40"/>
      <c r="S44" s="27"/>
      <c r="T44" s="27"/>
      <c r="U44" s="40"/>
      <c r="V44" s="40"/>
      <c r="W44" s="40"/>
      <c r="X44" s="27"/>
      <c r="Y44" s="40"/>
      <c r="Z44" s="39"/>
      <c r="AA44" s="40"/>
      <c r="AB44" s="40"/>
      <c r="AC44" s="40"/>
      <c r="AD44" s="40"/>
      <c r="AE44" s="27"/>
      <c r="AF44" s="40"/>
      <c r="AG44" s="205" t="str">
        <f t="shared" si="2"/>
        <v>out</v>
      </c>
      <c r="AH44" s="188"/>
      <c r="AI44" s="213"/>
      <c r="AJ44" s="214"/>
      <c r="AK44" s="209"/>
      <c r="AL44" s="209"/>
      <c r="AM44" s="209"/>
      <c r="AN44" s="208"/>
      <c r="AO44" s="209"/>
      <c r="AP44" s="209"/>
      <c r="AQ44" s="119"/>
    </row>
    <row r="45" spans="1:43" s="38" customFormat="1" ht="15" customHeight="1" outlineLevel="1" x14ac:dyDescent="0.2">
      <c r="A45" s="215" t="s">
        <v>207</v>
      </c>
      <c r="B45" s="216">
        <f>ROUND(((B36-B35)+(B38-B37)+(B40-B39)+(B42-B41)+(B44-B43))*1440,0)/1440</f>
        <v>0</v>
      </c>
      <c r="C45" s="216">
        <f t="shared" ref="C45:AF45" si="9">ROUND(((C36-C35)+(C38-C37)+(C40-C39)+(C42-C41)+(C44-C43))*1440,0)/1440</f>
        <v>0</v>
      </c>
      <c r="D45" s="216">
        <f t="shared" si="9"/>
        <v>0</v>
      </c>
      <c r="E45" s="216">
        <f t="shared" si="9"/>
        <v>0</v>
      </c>
      <c r="F45" s="216">
        <f t="shared" si="9"/>
        <v>0</v>
      </c>
      <c r="G45" s="216">
        <f t="shared" si="9"/>
        <v>0</v>
      </c>
      <c r="H45" s="216">
        <f t="shared" si="9"/>
        <v>0</v>
      </c>
      <c r="I45" s="216">
        <f t="shared" si="9"/>
        <v>0</v>
      </c>
      <c r="J45" s="216">
        <f t="shared" si="9"/>
        <v>0</v>
      </c>
      <c r="K45" s="216">
        <f t="shared" si="9"/>
        <v>0</v>
      </c>
      <c r="L45" s="216">
        <f t="shared" si="9"/>
        <v>0</v>
      </c>
      <c r="M45" s="216">
        <f t="shared" si="9"/>
        <v>0</v>
      </c>
      <c r="N45" s="216">
        <f t="shared" si="9"/>
        <v>0</v>
      </c>
      <c r="O45" s="216">
        <f t="shared" si="9"/>
        <v>0</v>
      </c>
      <c r="P45" s="216">
        <f t="shared" si="9"/>
        <v>0</v>
      </c>
      <c r="Q45" s="216">
        <f t="shared" si="9"/>
        <v>0</v>
      </c>
      <c r="R45" s="216">
        <f t="shared" si="9"/>
        <v>0</v>
      </c>
      <c r="S45" s="216">
        <f t="shared" si="9"/>
        <v>0</v>
      </c>
      <c r="T45" s="216">
        <f t="shared" si="9"/>
        <v>0</v>
      </c>
      <c r="U45" s="216">
        <f t="shared" si="9"/>
        <v>0</v>
      </c>
      <c r="V45" s="216">
        <f t="shared" si="9"/>
        <v>0</v>
      </c>
      <c r="W45" s="216">
        <f t="shared" si="9"/>
        <v>0</v>
      </c>
      <c r="X45" s="216">
        <f t="shared" si="9"/>
        <v>0</v>
      </c>
      <c r="Y45" s="216">
        <f t="shared" si="9"/>
        <v>0</v>
      </c>
      <c r="Z45" s="216">
        <f t="shared" si="9"/>
        <v>0</v>
      </c>
      <c r="AA45" s="216">
        <f t="shared" si="9"/>
        <v>0</v>
      </c>
      <c r="AB45" s="216">
        <f t="shared" si="9"/>
        <v>0</v>
      </c>
      <c r="AC45" s="216">
        <f t="shared" si="9"/>
        <v>0</v>
      </c>
      <c r="AD45" s="216">
        <f t="shared" si="9"/>
        <v>0</v>
      </c>
      <c r="AE45" s="216">
        <f t="shared" si="9"/>
        <v>0</v>
      </c>
      <c r="AF45" s="216">
        <f t="shared" si="9"/>
        <v>0</v>
      </c>
      <c r="AG45" s="217" t="str">
        <f t="shared" si="2"/>
        <v>Total on call standby in/out</v>
      </c>
      <c r="AH45" s="218"/>
      <c r="AI45" s="219">
        <f>SUM(B45:AF45)</f>
        <v>0</v>
      </c>
      <c r="AJ45" s="214"/>
      <c r="AK45" s="209"/>
      <c r="AL45" s="209"/>
      <c r="AM45" s="209"/>
      <c r="AN45" s="208"/>
      <c r="AO45" s="209"/>
      <c r="AP45" s="209"/>
      <c r="AQ45" s="119"/>
    </row>
    <row r="46" spans="1:43" s="38" customFormat="1" ht="3.75" customHeight="1" x14ac:dyDescent="0.2">
      <c r="A46" s="220"/>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213"/>
      <c r="AG46" s="205"/>
      <c r="AH46" s="188"/>
      <c r="AI46" s="213"/>
      <c r="AJ46" s="214"/>
      <c r="AK46" s="209"/>
      <c r="AL46" s="209"/>
      <c r="AM46" s="209"/>
      <c r="AN46" s="208"/>
      <c r="AO46" s="209"/>
      <c r="AP46" s="209"/>
      <c r="AQ46" s="119"/>
    </row>
    <row r="47" spans="1:43" s="38" customFormat="1" ht="16.5" hidden="1" customHeight="1" outlineLevel="1" x14ac:dyDescent="0.2">
      <c r="A47" s="215" t="s">
        <v>209</v>
      </c>
      <c r="B47" s="216">
        <f t="shared" ref="B47:AF47" si="10">IF(B45&gt;0,ROUND((B45-
IF(B35&lt;T.PikettVetsuissebis,MIN(T.PikettVetsuissebis-B35,B36-B35)+IF(B37&lt;T.PikettVetsuissebis,MIN(T.PikettVetsuissebis-B37,B38-B37)+IF(B39&lt;T.PikettVetsuissebis,MIN(T.PikettVetsuissebis-B39,B40-B39)+IF(B41&lt;T.PikettVetsuissebis,MIN(T.PikettVetsuissebis-B41,B42-B41)+IF(B43&lt;T.PikettVetsuissebis,MIN(T.PikettVetsuissebis-B43,B44-B43),0),0),0),0),0))*1440,0)/1440,0)</f>
        <v>0</v>
      </c>
      <c r="C47" s="216">
        <f t="shared" si="10"/>
        <v>0</v>
      </c>
      <c r="D47" s="216">
        <f t="shared" si="10"/>
        <v>0</v>
      </c>
      <c r="E47" s="216">
        <f t="shared" si="10"/>
        <v>0</v>
      </c>
      <c r="F47" s="216">
        <f t="shared" si="10"/>
        <v>0</v>
      </c>
      <c r="G47" s="216">
        <f t="shared" si="10"/>
        <v>0</v>
      </c>
      <c r="H47" s="216">
        <f t="shared" si="10"/>
        <v>0</v>
      </c>
      <c r="I47" s="216">
        <f t="shared" si="10"/>
        <v>0</v>
      </c>
      <c r="J47" s="216">
        <f t="shared" si="10"/>
        <v>0</v>
      </c>
      <c r="K47" s="216">
        <f t="shared" si="10"/>
        <v>0</v>
      </c>
      <c r="L47" s="216">
        <f t="shared" si="10"/>
        <v>0</v>
      </c>
      <c r="M47" s="216">
        <f t="shared" si="10"/>
        <v>0</v>
      </c>
      <c r="N47" s="216">
        <f t="shared" si="10"/>
        <v>0</v>
      </c>
      <c r="O47" s="216">
        <f t="shared" si="10"/>
        <v>0</v>
      </c>
      <c r="P47" s="216">
        <f t="shared" si="10"/>
        <v>0</v>
      </c>
      <c r="Q47" s="216">
        <f t="shared" si="10"/>
        <v>0</v>
      </c>
      <c r="R47" s="216">
        <f t="shared" si="10"/>
        <v>0</v>
      </c>
      <c r="S47" s="216">
        <f t="shared" si="10"/>
        <v>0</v>
      </c>
      <c r="T47" s="216">
        <f t="shared" si="10"/>
        <v>0</v>
      </c>
      <c r="U47" s="216">
        <f t="shared" si="10"/>
        <v>0</v>
      </c>
      <c r="V47" s="216">
        <f t="shared" si="10"/>
        <v>0</v>
      </c>
      <c r="W47" s="216">
        <f t="shared" si="10"/>
        <v>0</v>
      </c>
      <c r="X47" s="216">
        <f t="shared" si="10"/>
        <v>0</v>
      </c>
      <c r="Y47" s="216">
        <f t="shared" si="10"/>
        <v>0</v>
      </c>
      <c r="Z47" s="216">
        <f t="shared" si="10"/>
        <v>0</v>
      </c>
      <c r="AA47" s="216">
        <f t="shared" si="10"/>
        <v>0</v>
      </c>
      <c r="AB47" s="216">
        <f t="shared" si="10"/>
        <v>0</v>
      </c>
      <c r="AC47" s="216">
        <f t="shared" si="10"/>
        <v>0</v>
      </c>
      <c r="AD47" s="216">
        <f t="shared" si="10"/>
        <v>0</v>
      </c>
      <c r="AE47" s="216">
        <f t="shared" si="10"/>
        <v>0</v>
      </c>
      <c r="AF47" s="216">
        <f t="shared" si="10"/>
        <v>0</v>
      </c>
      <c r="AG47" s="217" t="str">
        <f t="shared" si="2"/>
        <v>Total on call hours today</v>
      </c>
      <c r="AH47" s="188"/>
      <c r="AI47" s="213"/>
      <c r="AJ47" s="214"/>
      <c r="AK47" s="209"/>
      <c r="AL47" s="209"/>
      <c r="AM47" s="209"/>
      <c r="AN47" s="208"/>
      <c r="AO47" s="209"/>
      <c r="AP47" s="209"/>
      <c r="AQ47" s="119"/>
    </row>
    <row r="48" spans="1:43" s="38" customFormat="1" ht="16.5" hidden="1" customHeight="1" outlineLevel="1" x14ac:dyDescent="0.2">
      <c r="A48" s="215" t="s">
        <v>208</v>
      </c>
      <c r="B48" s="225">
        <f t="shared" ref="B48:AF48" si="11">B45-B47</f>
        <v>0</v>
      </c>
      <c r="C48" s="225">
        <f t="shared" si="11"/>
        <v>0</v>
      </c>
      <c r="D48" s="225">
        <f t="shared" si="11"/>
        <v>0</v>
      </c>
      <c r="E48" s="225">
        <f t="shared" si="11"/>
        <v>0</v>
      </c>
      <c r="F48" s="225">
        <f t="shared" si="11"/>
        <v>0</v>
      </c>
      <c r="G48" s="225">
        <f t="shared" si="11"/>
        <v>0</v>
      </c>
      <c r="H48" s="225">
        <f t="shared" si="11"/>
        <v>0</v>
      </c>
      <c r="I48" s="225">
        <f t="shared" si="11"/>
        <v>0</v>
      </c>
      <c r="J48" s="225">
        <f t="shared" si="11"/>
        <v>0</v>
      </c>
      <c r="K48" s="225">
        <f t="shared" si="11"/>
        <v>0</v>
      </c>
      <c r="L48" s="225">
        <f t="shared" si="11"/>
        <v>0</v>
      </c>
      <c r="M48" s="225">
        <f t="shared" si="11"/>
        <v>0</v>
      </c>
      <c r="N48" s="225">
        <f t="shared" si="11"/>
        <v>0</v>
      </c>
      <c r="O48" s="225">
        <f t="shared" si="11"/>
        <v>0</v>
      </c>
      <c r="P48" s="225">
        <f t="shared" si="11"/>
        <v>0</v>
      </c>
      <c r="Q48" s="225">
        <f t="shared" si="11"/>
        <v>0</v>
      </c>
      <c r="R48" s="225">
        <f t="shared" si="11"/>
        <v>0</v>
      </c>
      <c r="S48" s="225">
        <f t="shared" si="11"/>
        <v>0</v>
      </c>
      <c r="T48" s="225">
        <f t="shared" si="11"/>
        <v>0</v>
      </c>
      <c r="U48" s="225">
        <f t="shared" si="11"/>
        <v>0</v>
      </c>
      <c r="V48" s="225">
        <f t="shared" si="11"/>
        <v>0</v>
      </c>
      <c r="W48" s="225">
        <f t="shared" si="11"/>
        <v>0</v>
      </c>
      <c r="X48" s="225">
        <f t="shared" si="11"/>
        <v>0</v>
      </c>
      <c r="Y48" s="225">
        <f t="shared" si="11"/>
        <v>0</v>
      </c>
      <c r="Z48" s="225">
        <f t="shared" si="11"/>
        <v>0</v>
      </c>
      <c r="AA48" s="225">
        <f t="shared" si="11"/>
        <v>0</v>
      </c>
      <c r="AB48" s="225">
        <f t="shared" si="11"/>
        <v>0</v>
      </c>
      <c r="AC48" s="225">
        <f t="shared" si="11"/>
        <v>0</v>
      </c>
      <c r="AD48" s="225">
        <f t="shared" si="11"/>
        <v>0</v>
      </c>
      <c r="AE48" s="225">
        <f t="shared" si="11"/>
        <v>0</v>
      </c>
      <c r="AF48" s="225">
        <f t="shared" si="11"/>
        <v>0</v>
      </c>
      <c r="AG48" s="217" t="str">
        <f t="shared" si="2"/>
        <v>Total on call hours yesterday</v>
      </c>
      <c r="AH48" s="188"/>
      <c r="AI48" s="213"/>
      <c r="AJ48" s="214"/>
      <c r="AK48" s="209"/>
      <c r="AL48" s="209"/>
      <c r="AM48" s="230">
        <f ca="1">IF(EB.Anwendung&lt;&gt;"",IF(MONTH(Monat.Tag1)=12,0,IF(MONTH(Monat.Tag1)=1,February!Monat.PikettgesternTag1,IF(MONTH(Monat.Tag1)=2,March!Monat.PikettgesternTag1,IF(MONTH(Monat.Tag1)=3,April!Monat.PikettgesternTag1,IF(MONTH(Monat.Tag1)=4,May!Monat.PikettgesternTag1,IF(MONTH(Monat.Tag1)=5,June!Monat.PikettgesternTag1,IF(MONTH(Monat.Tag1)=6,July!Monat.PikettgesternTag1,IF(MONTH(Monat.Tag1)=7,August!Monat.PikettgesternTag1,IF(MONTH(Monat.Tag1)=8,September!Monat.PikettgesternTag1,IF(MONTH(Monat.Tag1)=9,October!Monat.PikettgesternTag1,IF(MONTH(Monat.Tag1)=10,November!Monat.PikettgesternTag1,IF(MONTH(Monat.Tag1)=11,December!Monat.PikettgesternTag1,"")))))))))))),"")</f>
        <v>0</v>
      </c>
      <c r="AN48" s="208"/>
      <c r="AO48" s="209"/>
      <c r="AP48" s="209"/>
      <c r="AQ48" s="119"/>
    </row>
    <row r="49" spans="1:43" s="38" customFormat="1" ht="16.5" hidden="1" customHeight="1" outlineLevel="1" x14ac:dyDescent="0.2">
      <c r="A49" s="215" t="s">
        <v>210</v>
      </c>
      <c r="B49" s="216">
        <f t="shared" ref="B49:AF49" si="12">B47+IF(B$10=EOMONTH(B$10,0),$AM48,C48)</f>
        <v>0</v>
      </c>
      <c r="C49" s="216">
        <f t="shared" si="12"/>
        <v>0</v>
      </c>
      <c r="D49" s="216">
        <f t="shared" si="12"/>
        <v>0</v>
      </c>
      <c r="E49" s="216">
        <f t="shared" si="12"/>
        <v>0</v>
      </c>
      <c r="F49" s="216">
        <f t="shared" si="12"/>
        <v>0</v>
      </c>
      <c r="G49" s="216">
        <f t="shared" si="12"/>
        <v>0</v>
      </c>
      <c r="H49" s="216">
        <f t="shared" si="12"/>
        <v>0</v>
      </c>
      <c r="I49" s="216">
        <f t="shared" si="12"/>
        <v>0</v>
      </c>
      <c r="J49" s="216">
        <f t="shared" si="12"/>
        <v>0</v>
      </c>
      <c r="K49" s="216">
        <f t="shared" si="12"/>
        <v>0</v>
      </c>
      <c r="L49" s="216">
        <f t="shared" si="12"/>
        <v>0</v>
      </c>
      <c r="M49" s="216">
        <f t="shared" si="12"/>
        <v>0</v>
      </c>
      <c r="N49" s="216">
        <f t="shared" si="12"/>
        <v>0</v>
      </c>
      <c r="O49" s="216">
        <f t="shared" si="12"/>
        <v>0</v>
      </c>
      <c r="P49" s="216">
        <f t="shared" si="12"/>
        <v>0</v>
      </c>
      <c r="Q49" s="216">
        <f t="shared" si="12"/>
        <v>0</v>
      </c>
      <c r="R49" s="216">
        <f t="shared" si="12"/>
        <v>0</v>
      </c>
      <c r="S49" s="216">
        <f t="shared" si="12"/>
        <v>0</v>
      </c>
      <c r="T49" s="216">
        <f t="shared" si="12"/>
        <v>0</v>
      </c>
      <c r="U49" s="216">
        <f t="shared" si="12"/>
        <v>0</v>
      </c>
      <c r="V49" s="216">
        <f t="shared" si="12"/>
        <v>0</v>
      </c>
      <c r="W49" s="216">
        <f t="shared" si="12"/>
        <v>0</v>
      </c>
      <c r="X49" s="216">
        <f t="shared" si="12"/>
        <v>0</v>
      </c>
      <c r="Y49" s="216">
        <f t="shared" si="12"/>
        <v>0</v>
      </c>
      <c r="Z49" s="216">
        <f t="shared" si="12"/>
        <v>0</v>
      </c>
      <c r="AA49" s="216">
        <f t="shared" si="12"/>
        <v>0</v>
      </c>
      <c r="AB49" s="216">
        <f t="shared" si="12"/>
        <v>0</v>
      </c>
      <c r="AC49" s="216">
        <f t="shared" si="12"/>
        <v>0</v>
      </c>
      <c r="AD49" s="216">
        <f t="shared" si="12"/>
        <v>0</v>
      </c>
      <c r="AE49" s="216">
        <f t="shared" si="12"/>
        <v>0</v>
      </c>
      <c r="AF49" s="216">
        <f t="shared" ca="1" si="12"/>
        <v>0</v>
      </c>
      <c r="AG49" s="217" t="str">
        <f t="shared" si="2"/>
        <v>Total on call standby hours</v>
      </c>
      <c r="AH49" s="218"/>
      <c r="AI49" s="219">
        <f ca="1">SUM(B49:AF49)</f>
        <v>0</v>
      </c>
      <c r="AJ49" s="214"/>
      <c r="AK49" s="209"/>
      <c r="AL49" s="209"/>
      <c r="AM49" s="209"/>
      <c r="AN49" s="208"/>
      <c r="AO49" s="209"/>
      <c r="AP49" s="209"/>
      <c r="AQ49" s="119"/>
    </row>
    <row r="50" spans="1:43" s="38" customFormat="1" ht="3.75" customHeight="1" collapsed="1" x14ac:dyDescent="0.2">
      <c r="A50" s="231"/>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2"/>
      <c r="AG50" s="232"/>
      <c r="AH50" s="233"/>
      <c r="AI50" s="222"/>
      <c r="AJ50" s="214"/>
      <c r="AK50" s="209"/>
      <c r="AL50" s="209"/>
      <c r="AM50" s="209"/>
      <c r="AN50" s="208"/>
      <c r="AO50" s="209"/>
      <c r="AP50" s="209"/>
      <c r="AQ50" s="119"/>
    </row>
    <row r="51" spans="1:43" s="38" customFormat="1" ht="15" customHeight="1" x14ac:dyDescent="0.2">
      <c r="A51" s="215" t="s">
        <v>76</v>
      </c>
      <c r="B51" s="234">
        <f>ROUND((B23+B45+B84+SUM(B86:B95)+IF(OR(T.50_Vetsuisse,T.ServiceCenterIrchel),B71,0))*1440,0)/1440</f>
        <v>0</v>
      </c>
      <c r="C51" s="234">
        <f t="shared" ref="C51:AF51" si="13">ROUND((C23+C45+C84+SUM(C86:C95)+IF(OR(T.50_Vetsuisse,T.ServiceCenterIrchel),C71,0))*1440,0)/1440</f>
        <v>0</v>
      </c>
      <c r="D51" s="234">
        <f t="shared" si="13"/>
        <v>0</v>
      </c>
      <c r="E51" s="235">
        <f t="shared" si="13"/>
        <v>0</v>
      </c>
      <c r="F51" s="234">
        <f t="shared" si="13"/>
        <v>0</v>
      </c>
      <c r="G51" s="234">
        <f t="shared" si="13"/>
        <v>0</v>
      </c>
      <c r="H51" s="234">
        <f t="shared" si="13"/>
        <v>0</v>
      </c>
      <c r="I51" s="234">
        <f t="shared" si="13"/>
        <v>0</v>
      </c>
      <c r="J51" s="236">
        <f t="shared" si="13"/>
        <v>0</v>
      </c>
      <c r="K51" s="234">
        <f t="shared" si="13"/>
        <v>0</v>
      </c>
      <c r="L51" s="236">
        <f t="shared" si="13"/>
        <v>0</v>
      </c>
      <c r="M51" s="234">
        <f t="shared" si="13"/>
        <v>0</v>
      </c>
      <c r="N51" s="234">
        <f t="shared" si="13"/>
        <v>0</v>
      </c>
      <c r="O51" s="234">
        <f t="shared" si="13"/>
        <v>0</v>
      </c>
      <c r="P51" s="234">
        <f t="shared" si="13"/>
        <v>0</v>
      </c>
      <c r="Q51" s="236">
        <f t="shared" si="13"/>
        <v>0</v>
      </c>
      <c r="R51" s="234">
        <f t="shared" si="13"/>
        <v>0</v>
      </c>
      <c r="S51" s="236">
        <f t="shared" si="13"/>
        <v>0</v>
      </c>
      <c r="T51" s="236">
        <f t="shared" si="13"/>
        <v>0</v>
      </c>
      <c r="U51" s="234">
        <f t="shared" si="13"/>
        <v>0</v>
      </c>
      <c r="V51" s="234">
        <f t="shared" si="13"/>
        <v>0</v>
      </c>
      <c r="W51" s="234">
        <f t="shared" si="13"/>
        <v>0</v>
      </c>
      <c r="X51" s="236">
        <f t="shared" si="13"/>
        <v>0</v>
      </c>
      <c r="Y51" s="234">
        <f t="shared" si="13"/>
        <v>0</v>
      </c>
      <c r="Z51" s="237">
        <f t="shared" si="13"/>
        <v>0</v>
      </c>
      <c r="AA51" s="234">
        <f t="shared" si="13"/>
        <v>0</v>
      </c>
      <c r="AB51" s="234">
        <f t="shared" si="13"/>
        <v>0</v>
      </c>
      <c r="AC51" s="234">
        <f t="shared" si="13"/>
        <v>0</v>
      </c>
      <c r="AD51" s="234">
        <f t="shared" si="13"/>
        <v>0</v>
      </c>
      <c r="AE51" s="236">
        <f t="shared" si="13"/>
        <v>0</v>
      </c>
      <c r="AF51" s="234">
        <f t="shared" si="13"/>
        <v>0</v>
      </c>
      <c r="AG51" s="217" t="str">
        <f t="shared" si="2"/>
        <v>Actual hours worked</v>
      </c>
      <c r="AH51" s="218"/>
      <c r="AI51" s="238">
        <f>SUM(B51:AF51)</f>
        <v>0</v>
      </c>
      <c r="AJ51" s="214"/>
      <c r="AK51" s="209"/>
      <c r="AL51" s="209"/>
      <c r="AM51" s="209"/>
      <c r="AN51" s="239">
        <f ca="1">IF(WEEKDAY(EOMONTH(Monat.Tag1,0),2)=7,0,MAX(0,SUM(OFFSET(B51,0,DAY(EOMONTH(Monat.Tag1,0))-WEEKDAY(EOMONTH(Monat.Tag1,0),2),1,WEEKDAY(EOMONTH(Monat.Tag1,0),2)))))</f>
        <v>0</v>
      </c>
      <c r="AO51" s="209"/>
      <c r="AP51" s="209"/>
      <c r="AQ51" s="119"/>
    </row>
    <row r="52" spans="1:43" s="38" customFormat="1" ht="15" customHeight="1" outlineLevel="1" x14ac:dyDescent="0.2">
      <c r="A52" s="212" t="s">
        <v>211</v>
      </c>
      <c r="B52" s="78">
        <f t="shared" ref="B52:AF52" ca="1" si="14">IF(B$12=0,0,ROUND(INDEX(Monat.RAZ1_7.Bereich,WEEKDAY(B$10,2))*B$11*1440,0)/1440)</f>
        <v>0.35</v>
      </c>
      <c r="C52" s="78">
        <f t="shared" ca="1" si="14"/>
        <v>0.35</v>
      </c>
      <c r="D52" s="79">
        <f t="shared" ca="1" si="14"/>
        <v>0</v>
      </c>
      <c r="E52" s="78">
        <f t="shared" ca="1" si="14"/>
        <v>0</v>
      </c>
      <c r="F52" s="79">
        <f t="shared" ca="1" si="14"/>
        <v>0.35</v>
      </c>
      <c r="G52" s="79">
        <f t="shared" ca="1" si="14"/>
        <v>0.35</v>
      </c>
      <c r="H52" s="79">
        <f t="shared" ca="1" si="14"/>
        <v>0.35</v>
      </c>
      <c r="I52" s="79">
        <f t="shared" ca="1" si="14"/>
        <v>0.35</v>
      </c>
      <c r="J52" s="78">
        <f t="shared" ca="1" si="14"/>
        <v>0.35</v>
      </c>
      <c r="K52" s="79">
        <f t="shared" ca="1" si="14"/>
        <v>0</v>
      </c>
      <c r="L52" s="78">
        <f t="shared" ca="1" si="14"/>
        <v>0</v>
      </c>
      <c r="M52" s="79">
        <f t="shared" ca="1" si="14"/>
        <v>0.35</v>
      </c>
      <c r="N52" s="79">
        <f t="shared" ca="1" si="14"/>
        <v>0.35</v>
      </c>
      <c r="O52" s="79">
        <f t="shared" ca="1" si="14"/>
        <v>0.35</v>
      </c>
      <c r="P52" s="79">
        <f t="shared" ca="1" si="14"/>
        <v>0.35</v>
      </c>
      <c r="Q52" s="78">
        <f t="shared" ca="1" si="14"/>
        <v>0.35</v>
      </c>
      <c r="R52" s="79">
        <f t="shared" ca="1" si="14"/>
        <v>0</v>
      </c>
      <c r="S52" s="78">
        <f t="shared" ca="1" si="14"/>
        <v>0</v>
      </c>
      <c r="T52" s="78">
        <f t="shared" ca="1" si="14"/>
        <v>0.35</v>
      </c>
      <c r="U52" s="79">
        <f t="shared" ca="1" si="14"/>
        <v>0.35</v>
      </c>
      <c r="V52" s="79">
        <f t="shared" ca="1" si="14"/>
        <v>0.35</v>
      </c>
      <c r="W52" s="79">
        <f t="shared" ca="1" si="14"/>
        <v>0.35</v>
      </c>
      <c r="X52" s="78">
        <f t="shared" ca="1" si="14"/>
        <v>0.35</v>
      </c>
      <c r="Y52" s="79">
        <f t="shared" ca="1" si="14"/>
        <v>0</v>
      </c>
      <c r="Z52" s="80">
        <f t="shared" ca="1" si="14"/>
        <v>0</v>
      </c>
      <c r="AA52" s="79">
        <f t="shared" ca="1" si="14"/>
        <v>0.35</v>
      </c>
      <c r="AB52" s="79">
        <f t="shared" ca="1" si="14"/>
        <v>0.35</v>
      </c>
      <c r="AC52" s="79">
        <f t="shared" ca="1" si="14"/>
        <v>0.35</v>
      </c>
      <c r="AD52" s="79">
        <f t="shared" ca="1" si="14"/>
        <v>0.35</v>
      </c>
      <c r="AE52" s="78">
        <f t="shared" ca="1" si="14"/>
        <v>0.35</v>
      </c>
      <c r="AF52" s="79">
        <f t="shared" ca="1" si="14"/>
        <v>0</v>
      </c>
      <c r="AG52" s="240" t="str">
        <f t="shared" si="2"/>
        <v>Standardized hours (Info)</v>
      </c>
      <c r="AH52" s="218"/>
      <c r="AI52" s="213"/>
      <c r="AJ52" s="214"/>
      <c r="AK52" s="209"/>
      <c r="AL52" s="209"/>
      <c r="AM52" s="209"/>
      <c r="AN52" s="208"/>
      <c r="AO52" s="209"/>
      <c r="AP52" s="209"/>
      <c r="AQ52" s="119"/>
    </row>
    <row r="53" spans="1:43" s="38" customFormat="1" ht="15" customHeight="1" x14ac:dyDescent="0.2">
      <c r="A53" s="212" t="s">
        <v>212</v>
      </c>
      <c r="B53" s="241">
        <f t="shared" ref="B53:AF53" ca="1" si="15">IF(B$12=0,0,ROUND(INDEX(EB.AZSOLLTag100.Bereich,MATCH(INDEX(EB.Monate.Bereich,MONTH(Monat.Tag1)),EB.Monate.Bereich,0))*B$11*IF(WEEKDAY(B$10,2)&gt;5,0,1)*$V$2/100*1440,0)/1440)</f>
        <v>0.35</v>
      </c>
      <c r="C53" s="241">
        <f t="shared" ca="1" si="15"/>
        <v>0.35</v>
      </c>
      <c r="D53" s="241">
        <f t="shared" ca="1" si="15"/>
        <v>0</v>
      </c>
      <c r="E53" s="241">
        <f t="shared" ca="1" si="15"/>
        <v>0</v>
      </c>
      <c r="F53" s="241">
        <f t="shared" ca="1" si="15"/>
        <v>0.35</v>
      </c>
      <c r="G53" s="241">
        <f t="shared" ca="1" si="15"/>
        <v>0.35</v>
      </c>
      <c r="H53" s="241">
        <f t="shared" ca="1" si="15"/>
        <v>0.35</v>
      </c>
      <c r="I53" s="241">
        <f t="shared" ca="1" si="15"/>
        <v>0.35</v>
      </c>
      <c r="J53" s="241">
        <f t="shared" ca="1" si="15"/>
        <v>0.35</v>
      </c>
      <c r="K53" s="241">
        <f t="shared" ca="1" si="15"/>
        <v>0</v>
      </c>
      <c r="L53" s="241">
        <f t="shared" ca="1" si="15"/>
        <v>0</v>
      </c>
      <c r="M53" s="241">
        <f t="shared" ca="1" si="15"/>
        <v>0.35</v>
      </c>
      <c r="N53" s="241">
        <f t="shared" ca="1" si="15"/>
        <v>0.35</v>
      </c>
      <c r="O53" s="241">
        <f t="shared" ca="1" si="15"/>
        <v>0.35</v>
      </c>
      <c r="P53" s="241">
        <f t="shared" ca="1" si="15"/>
        <v>0.35</v>
      </c>
      <c r="Q53" s="241">
        <f t="shared" ca="1" si="15"/>
        <v>0.35</v>
      </c>
      <c r="R53" s="241">
        <f t="shared" ca="1" si="15"/>
        <v>0</v>
      </c>
      <c r="S53" s="241">
        <f t="shared" ca="1" si="15"/>
        <v>0</v>
      </c>
      <c r="T53" s="241">
        <f t="shared" ca="1" si="15"/>
        <v>0.35</v>
      </c>
      <c r="U53" s="241">
        <f t="shared" ca="1" si="15"/>
        <v>0.35</v>
      </c>
      <c r="V53" s="241">
        <f t="shared" ca="1" si="15"/>
        <v>0.35</v>
      </c>
      <c r="W53" s="241">
        <f t="shared" ca="1" si="15"/>
        <v>0.35</v>
      </c>
      <c r="X53" s="241">
        <f t="shared" ca="1" si="15"/>
        <v>0.35</v>
      </c>
      <c r="Y53" s="241">
        <f t="shared" ca="1" si="15"/>
        <v>0</v>
      </c>
      <c r="Z53" s="241">
        <f t="shared" ca="1" si="15"/>
        <v>0</v>
      </c>
      <c r="AA53" s="241">
        <f t="shared" ca="1" si="15"/>
        <v>0.35</v>
      </c>
      <c r="AB53" s="241">
        <f t="shared" ca="1" si="15"/>
        <v>0.35</v>
      </c>
      <c r="AC53" s="241">
        <f t="shared" ca="1" si="15"/>
        <v>0.35</v>
      </c>
      <c r="AD53" s="241">
        <f t="shared" ca="1" si="15"/>
        <v>0.35</v>
      </c>
      <c r="AE53" s="241">
        <f t="shared" ca="1" si="15"/>
        <v>0.35</v>
      </c>
      <c r="AF53" s="241">
        <f t="shared" ca="1" si="15"/>
        <v>0</v>
      </c>
      <c r="AG53" s="205" t="str">
        <f t="shared" si="2"/>
        <v>Req. hours of work FTE</v>
      </c>
      <c r="AH53" s="218"/>
      <c r="AI53" s="238">
        <f ca="1">SUM(B53:AF53)</f>
        <v>7.6999999999999966</v>
      </c>
      <c r="AJ53" s="214"/>
      <c r="AK53" s="209"/>
      <c r="AL53" s="209"/>
      <c r="AM53" s="209"/>
      <c r="AN53" s="208"/>
      <c r="AO53" s="209"/>
      <c r="AP53" s="209"/>
      <c r="AQ53" s="119"/>
    </row>
    <row r="54" spans="1:43" s="38" customFormat="1" ht="15" hidden="1" customHeight="1" outlineLevel="1" x14ac:dyDescent="0.2">
      <c r="A54" s="212" t="s">
        <v>213</v>
      </c>
      <c r="B54" s="241">
        <f t="shared" ref="B54:AF54" ca="1" si="16">ROUND(INDEX(EB.AZSOLLTag100.Bereich,MATCH(INDEX(EB.Monate.Bereich,MONTH(Monat.Tag1)),EB.Monate.Bereich,0))*B$11*IF(WEEKDAY(B$10,2)&gt;5,0,1)*1440,0)/1440</f>
        <v>0.35</v>
      </c>
      <c r="C54" s="241">
        <f t="shared" ca="1" si="16"/>
        <v>0.35</v>
      </c>
      <c r="D54" s="242">
        <f t="shared" ca="1" si="16"/>
        <v>0</v>
      </c>
      <c r="E54" s="241">
        <f t="shared" ca="1" si="16"/>
        <v>0</v>
      </c>
      <c r="F54" s="242">
        <f t="shared" ca="1" si="16"/>
        <v>0.35</v>
      </c>
      <c r="G54" s="242">
        <f t="shared" ca="1" si="16"/>
        <v>0.35</v>
      </c>
      <c r="H54" s="242">
        <f t="shared" ca="1" si="16"/>
        <v>0.35</v>
      </c>
      <c r="I54" s="242">
        <f t="shared" ca="1" si="16"/>
        <v>0.35</v>
      </c>
      <c r="J54" s="241">
        <f t="shared" ca="1" si="16"/>
        <v>0.35</v>
      </c>
      <c r="K54" s="242">
        <f t="shared" ca="1" si="16"/>
        <v>0</v>
      </c>
      <c r="L54" s="241">
        <f t="shared" ca="1" si="16"/>
        <v>0</v>
      </c>
      <c r="M54" s="242">
        <f t="shared" ca="1" si="16"/>
        <v>0.35</v>
      </c>
      <c r="N54" s="242">
        <f t="shared" ca="1" si="16"/>
        <v>0.35</v>
      </c>
      <c r="O54" s="242">
        <f t="shared" ca="1" si="16"/>
        <v>0.35</v>
      </c>
      <c r="P54" s="242">
        <f t="shared" ca="1" si="16"/>
        <v>0.35</v>
      </c>
      <c r="Q54" s="241">
        <f t="shared" ca="1" si="16"/>
        <v>0.35</v>
      </c>
      <c r="R54" s="242">
        <f t="shared" ca="1" si="16"/>
        <v>0</v>
      </c>
      <c r="S54" s="241">
        <f t="shared" ca="1" si="16"/>
        <v>0</v>
      </c>
      <c r="T54" s="241">
        <f t="shared" ca="1" si="16"/>
        <v>0.35</v>
      </c>
      <c r="U54" s="242">
        <f t="shared" ca="1" si="16"/>
        <v>0.35</v>
      </c>
      <c r="V54" s="242">
        <f t="shared" ca="1" si="16"/>
        <v>0.35</v>
      </c>
      <c r="W54" s="242">
        <f t="shared" ca="1" si="16"/>
        <v>0.35</v>
      </c>
      <c r="X54" s="241">
        <f t="shared" ca="1" si="16"/>
        <v>0.35</v>
      </c>
      <c r="Y54" s="242">
        <f t="shared" ca="1" si="16"/>
        <v>0</v>
      </c>
      <c r="Z54" s="243">
        <f t="shared" ca="1" si="16"/>
        <v>0</v>
      </c>
      <c r="AA54" s="242">
        <f t="shared" ca="1" si="16"/>
        <v>0.35</v>
      </c>
      <c r="AB54" s="242">
        <f t="shared" ca="1" si="16"/>
        <v>0.35</v>
      </c>
      <c r="AC54" s="242">
        <f t="shared" ca="1" si="16"/>
        <v>0.35</v>
      </c>
      <c r="AD54" s="242">
        <f t="shared" ca="1" si="16"/>
        <v>0.35</v>
      </c>
      <c r="AE54" s="241">
        <f t="shared" ca="1" si="16"/>
        <v>0.35</v>
      </c>
      <c r="AF54" s="242">
        <f t="shared" ca="1" si="16"/>
        <v>0</v>
      </c>
      <c r="AG54" s="205" t="str">
        <f t="shared" si="2"/>
        <v>Req. hours of work 100%</v>
      </c>
      <c r="AH54" s="218"/>
      <c r="AI54" s="238">
        <f ca="1">SUM(B54:AF54)</f>
        <v>7.6999999999999966</v>
      </c>
      <c r="AJ54" s="214"/>
      <c r="AK54" s="209"/>
      <c r="AL54" s="209"/>
      <c r="AM54" s="209"/>
      <c r="AN54" s="208"/>
      <c r="AO54" s="209"/>
      <c r="AP54" s="209"/>
      <c r="AQ54" s="119"/>
    </row>
    <row r="55" spans="1:43" s="38" customFormat="1" ht="15" customHeight="1" collapsed="1" x14ac:dyDescent="0.2">
      <c r="A55" s="244" t="s">
        <v>77</v>
      </c>
      <c r="B55" s="234">
        <f ca="1">ROUND((B51-B53)*1440,0)/1440</f>
        <v>-0.35</v>
      </c>
      <c r="C55" s="234">
        <f t="shared" ref="C55:AF55" ca="1" si="17">ROUND((C51-C53)*1440,0)/1440</f>
        <v>-0.35</v>
      </c>
      <c r="D55" s="234">
        <f t="shared" ca="1" si="17"/>
        <v>0</v>
      </c>
      <c r="E55" s="236">
        <f t="shared" ca="1" si="17"/>
        <v>0</v>
      </c>
      <c r="F55" s="234">
        <f t="shared" ca="1" si="17"/>
        <v>-0.35</v>
      </c>
      <c r="G55" s="234">
        <f t="shared" ca="1" si="17"/>
        <v>-0.35</v>
      </c>
      <c r="H55" s="234">
        <f t="shared" ca="1" si="17"/>
        <v>-0.35</v>
      </c>
      <c r="I55" s="234">
        <f t="shared" ca="1" si="17"/>
        <v>-0.35</v>
      </c>
      <c r="J55" s="236">
        <f t="shared" ca="1" si="17"/>
        <v>-0.35</v>
      </c>
      <c r="K55" s="234">
        <f t="shared" ca="1" si="17"/>
        <v>0</v>
      </c>
      <c r="L55" s="236">
        <f t="shared" ca="1" si="17"/>
        <v>0</v>
      </c>
      <c r="M55" s="234">
        <f t="shared" ca="1" si="17"/>
        <v>-0.35</v>
      </c>
      <c r="N55" s="234">
        <f t="shared" ca="1" si="17"/>
        <v>-0.35</v>
      </c>
      <c r="O55" s="234">
        <f t="shared" ca="1" si="17"/>
        <v>-0.35</v>
      </c>
      <c r="P55" s="234">
        <f t="shared" ca="1" si="17"/>
        <v>-0.35</v>
      </c>
      <c r="Q55" s="236">
        <f t="shared" ca="1" si="17"/>
        <v>-0.35</v>
      </c>
      <c r="R55" s="234">
        <f t="shared" ca="1" si="17"/>
        <v>0</v>
      </c>
      <c r="S55" s="236">
        <f t="shared" ca="1" si="17"/>
        <v>0</v>
      </c>
      <c r="T55" s="236">
        <f t="shared" ca="1" si="17"/>
        <v>-0.35</v>
      </c>
      <c r="U55" s="234">
        <f t="shared" ca="1" si="17"/>
        <v>-0.35</v>
      </c>
      <c r="V55" s="234">
        <f t="shared" ca="1" si="17"/>
        <v>-0.35</v>
      </c>
      <c r="W55" s="234">
        <f t="shared" ca="1" si="17"/>
        <v>-0.35</v>
      </c>
      <c r="X55" s="236">
        <f t="shared" ca="1" si="17"/>
        <v>-0.35</v>
      </c>
      <c r="Y55" s="234">
        <f t="shared" ca="1" si="17"/>
        <v>0</v>
      </c>
      <c r="Z55" s="237">
        <f t="shared" ca="1" si="17"/>
        <v>0</v>
      </c>
      <c r="AA55" s="234">
        <f t="shared" ca="1" si="17"/>
        <v>-0.35</v>
      </c>
      <c r="AB55" s="234">
        <f t="shared" ca="1" si="17"/>
        <v>-0.35</v>
      </c>
      <c r="AC55" s="234">
        <f t="shared" ca="1" si="17"/>
        <v>-0.35</v>
      </c>
      <c r="AD55" s="234">
        <f t="shared" ca="1" si="17"/>
        <v>-0.35</v>
      </c>
      <c r="AE55" s="236">
        <f t="shared" ca="1" si="17"/>
        <v>-0.35</v>
      </c>
      <c r="AF55" s="234">
        <f t="shared" ca="1" si="17"/>
        <v>0</v>
      </c>
      <c r="AG55" s="205" t="str">
        <f t="shared" si="2"/>
        <v>+/- required/actual hours daily</v>
      </c>
      <c r="AH55" s="218"/>
      <c r="AI55" s="238">
        <f ca="1">SUM(B55:AF55)</f>
        <v>-7.6999999999999966</v>
      </c>
      <c r="AJ55" s="214"/>
      <c r="AK55" s="209"/>
      <c r="AL55" s="245">
        <f ca="1">IF(EB.Anwendung&lt;&gt;"",IF(MONTH(Monat.Tag1)=1,0,IF(MONTH(Monat.Tag1)=2,January!Monat.Soll_Ist_UeVM,IF(MONTH(Monat.Tag1)=3,February!Monat.Soll_Ist_UeVM,IF(MONTH(Monat.Tag1)=4,March!Monat.Soll_Ist_UeVM,IF(MONTH(Monat.Tag1)=5,April!Monat.Soll_Ist_UeVM,IF(MONTH(Monat.Tag1)=6,May!Monat.Soll_Ist_UeVM,IF(MONTH(Monat.Tag1)=7,June!Monat.Soll_Ist_UeVM,IF(MONTH(Monat.Tag1)=8,July!Monat.Soll_Ist_UeVM,IF(MONTH(Monat.Tag1)=9,August!Monat.Soll_Ist_UeVM,IF(MONTH(Monat.Tag1)=10,September!Monat.Soll_Ist_UeVM,IF(MONTH(Monat.Tag1)=11,October!Monat.Soll_Ist_UeVM,IF(MONTH(Monat.Tag1)=12,November!Monat.Soll_Ist_UeVM,"")))))))))))),"")</f>
        <v>-7.5249999999999968</v>
      </c>
      <c r="AM55" s="209"/>
      <c r="AN55" s="246">
        <f ca="1">IF(AH57="+",(AI55+AI57),(AI55-AI57))</f>
        <v>-7.6999999999999966</v>
      </c>
      <c r="AO55" s="246">
        <f ca="1">SUM(OFFSET(J.AZSaldo.Total,-12,0,MONTH(Monat.Tag1),1))</f>
        <v>-73.299999999999969</v>
      </c>
      <c r="AP55" s="246">
        <f ca="1">J.AZSaldo.Total</f>
        <v>-88.07499999999996</v>
      </c>
      <c r="AQ55" s="119"/>
    </row>
    <row r="56" spans="1:43" s="38" customFormat="1" ht="15" customHeight="1" x14ac:dyDescent="0.2">
      <c r="A56" s="244" t="s">
        <v>214</v>
      </c>
      <c r="B56" s="247">
        <f ca="1">IF(EB.Anwendung&lt;&gt;"",IF(DAY(B$10)=1,IF(MONTH(Monat.Tag1)=1,ROUND(EB.ÜVMMS*1440,0)/1440,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B$10&gt;TODAY(),EB.UJAustritt=""),0,B55),
IF(AND(B$10&gt;TODAY(),EB.UJAustritt=""),A56,A56+B55)),"")</f>
        <v>0</v>
      </c>
      <c r="C56" s="247">
        <f ca="1">IF(EB.Anwendung&lt;&gt;"",IF(DAY(C$10)=1,IF(MONTH(Monat.Tag1)=1,ROUND(EB.ÜVMMS*1440,0)/1440,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C$10&gt;TODAY(),EB.UJAustritt=""),0,C55),
IF(AND(C$10&gt;TODAY(),EB.UJAustritt=""),B56,B56+C55)),"")</f>
        <v>0</v>
      </c>
      <c r="D56" s="247">
        <f ca="1">IF(EB.Anwendung&lt;&gt;"",IF(DAY(D$10)=1,IF(MONTH(Monat.Tag1)=1,ROUND(EB.ÜVMMS*1440,0)/1440,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D$10&gt;TODAY(),EB.UJAustritt=""),0,D55),
IF(AND(D$10&gt;TODAY(),EB.UJAustritt=""),C56,C56+D55)),"")</f>
        <v>0</v>
      </c>
      <c r="E56" s="247">
        <f ca="1">IF(EB.Anwendung&lt;&gt;"",IF(DAY(E$10)=1,IF(MONTH(Monat.Tag1)=1,ROUND(EB.ÜVMMS*1440,0)/1440,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E$10&gt;TODAY(),EB.UJAustritt=""),0,E55),
IF(AND(E$10&gt;TODAY(),EB.UJAustritt=""),D56,D56+E55)),"")</f>
        <v>0</v>
      </c>
      <c r="F56" s="247">
        <f ca="1">IF(EB.Anwendung&lt;&gt;"",IF(DAY(F$10)=1,IF(MONTH(Monat.Tag1)=1,ROUND(EB.ÜVMMS*1440,0)/1440,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F$10&gt;TODAY(),EB.UJAustritt=""),0,F55),
IF(AND(F$10&gt;TODAY(),EB.UJAustritt=""),E56,E56+F55)),"")</f>
        <v>0</v>
      </c>
      <c r="G56" s="247">
        <f ca="1">IF(EB.Anwendung&lt;&gt;"",IF(DAY(G$10)=1,IF(MONTH(Monat.Tag1)=1,ROUND(EB.ÜVMMS*1440,0)/1440,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G$10&gt;TODAY(),EB.UJAustritt=""),0,G55),
IF(AND(G$10&gt;TODAY(),EB.UJAustritt=""),F56,F56+G55)),"")</f>
        <v>0</v>
      </c>
      <c r="H56" s="247">
        <f ca="1">IF(EB.Anwendung&lt;&gt;"",IF(DAY(H$10)=1,IF(MONTH(Monat.Tag1)=1,ROUND(EB.ÜVMMS*1440,0)/1440,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H$10&gt;TODAY(),EB.UJAustritt=""),0,H55),
IF(AND(H$10&gt;TODAY(),EB.UJAustritt=""),G56,G56+H55)),"")</f>
        <v>0</v>
      </c>
      <c r="I56" s="247">
        <f ca="1">IF(EB.Anwendung&lt;&gt;"",IF(DAY(I$10)=1,IF(MONTH(Monat.Tag1)=1,ROUND(EB.ÜVMMS*1440,0)/1440,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I$10&gt;TODAY(),EB.UJAustritt=""),0,I55),
IF(AND(I$10&gt;TODAY(),EB.UJAustritt=""),H56,H56+I55)),"")</f>
        <v>0</v>
      </c>
      <c r="J56" s="247">
        <f ca="1">IF(EB.Anwendung&lt;&gt;"",IF(DAY(J$10)=1,IF(MONTH(Monat.Tag1)=1,ROUND(EB.ÜVMMS*1440,0)/1440,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J$10&gt;TODAY(),EB.UJAustritt=""),0,J55),
IF(AND(J$10&gt;TODAY(),EB.UJAustritt=""),I56,I56+J55)),"")</f>
        <v>0</v>
      </c>
      <c r="K56" s="247">
        <f ca="1">IF(EB.Anwendung&lt;&gt;"",IF(DAY(K$10)=1,IF(MONTH(Monat.Tag1)=1,ROUND(EB.ÜVMMS*1440,0)/1440,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K$10&gt;TODAY(),EB.UJAustritt=""),0,K55),
IF(AND(K$10&gt;TODAY(),EB.UJAustritt=""),J56,J56+K55)),"")</f>
        <v>0</v>
      </c>
      <c r="L56" s="247">
        <f ca="1">IF(EB.Anwendung&lt;&gt;"",IF(DAY(L$10)=1,IF(MONTH(Monat.Tag1)=1,ROUND(EB.ÜVMMS*1440,0)/1440,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L$10&gt;TODAY(),EB.UJAustritt=""),0,L55),
IF(AND(L$10&gt;TODAY(),EB.UJAustritt=""),K56,K56+L55)),"")</f>
        <v>0</v>
      </c>
      <c r="M56" s="247">
        <f ca="1">IF(EB.Anwendung&lt;&gt;"",IF(DAY(M$10)=1,IF(MONTH(Monat.Tag1)=1,ROUND(EB.ÜVMMS*1440,0)/1440,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M$10&gt;TODAY(),EB.UJAustritt=""),0,M55),
IF(AND(M$10&gt;TODAY(),EB.UJAustritt=""),L56,L56+M55)),"")</f>
        <v>0</v>
      </c>
      <c r="N56" s="247">
        <f ca="1">IF(EB.Anwendung&lt;&gt;"",IF(DAY(N$10)=1,IF(MONTH(Monat.Tag1)=1,ROUND(EB.ÜVMMS*1440,0)/1440,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N$10&gt;TODAY(),EB.UJAustritt=""),0,N55),
IF(AND(N$10&gt;TODAY(),EB.UJAustritt=""),M56,M56+N55)),"")</f>
        <v>0</v>
      </c>
      <c r="O56" s="247">
        <f ca="1">IF(EB.Anwendung&lt;&gt;"",IF(DAY(O$10)=1,IF(MONTH(Monat.Tag1)=1,ROUND(EB.ÜVMMS*1440,0)/1440,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O$10&gt;TODAY(),EB.UJAustritt=""),0,O55),
IF(AND(O$10&gt;TODAY(),EB.UJAustritt=""),N56,N56+O55)),"")</f>
        <v>0</v>
      </c>
      <c r="P56" s="247">
        <f ca="1">IF(EB.Anwendung&lt;&gt;"",IF(DAY(P$10)=1,IF(MONTH(Monat.Tag1)=1,ROUND(EB.ÜVMMS*1440,0)/1440,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P$10&gt;TODAY(),EB.UJAustritt=""),0,P55),
IF(AND(P$10&gt;TODAY(),EB.UJAustritt=""),O56,O56+P55)),"")</f>
        <v>0</v>
      </c>
      <c r="Q56" s="247">
        <f ca="1">IF(EB.Anwendung&lt;&gt;"",IF(DAY(Q$10)=1,IF(MONTH(Monat.Tag1)=1,ROUND(EB.ÜVMMS*1440,0)/1440,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Q$10&gt;TODAY(),EB.UJAustritt=""),0,Q55),
IF(AND(Q$10&gt;TODAY(),EB.UJAustritt=""),P56,P56+Q55)),"")</f>
        <v>0</v>
      </c>
      <c r="R56" s="247">
        <f ca="1">IF(EB.Anwendung&lt;&gt;"",IF(DAY(R$10)=1,IF(MONTH(Monat.Tag1)=1,ROUND(EB.ÜVMMS*1440,0)/1440,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R$10&gt;TODAY(),EB.UJAustritt=""),0,R55),
IF(AND(R$10&gt;TODAY(),EB.UJAustritt=""),Q56,Q56+R55)),"")</f>
        <v>0</v>
      </c>
      <c r="S56" s="247">
        <f ca="1">IF(EB.Anwendung&lt;&gt;"",IF(DAY(S$10)=1,IF(MONTH(Monat.Tag1)=1,ROUND(EB.ÜVMMS*1440,0)/1440,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S$10&gt;TODAY(),EB.UJAustritt=""),0,S55),
IF(AND(S$10&gt;TODAY(),EB.UJAustritt=""),R56,R56+S55)),"")</f>
        <v>0</v>
      </c>
      <c r="T56" s="247">
        <f ca="1">IF(EB.Anwendung&lt;&gt;"",IF(DAY(T$10)=1,IF(MONTH(Monat.Tag1)=1,ROUND(EB.ÜVMMS*1440,0)/1440,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T$10&gt;TODAY(),EB.UJAustritt=""),0,T55),
IF(AND(T$10&gt;TODAY(),EB.UJAustritt=""),S56,S56+T55)),"")</f>
        <v>0</v>
      </c>
      <c r="U56" s="247">
        <f ca="1">IF(EB.Anwendung&lt;&gt;"",IF(DAY(U$10)=1,IF(MONTH(Monat.Tag1)=1,ROUND(EB.ÜVMMS*1440,0)/1440,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U$10&gt;TODAY(),EB.UJAustritt=""),0,U55),
IF(AND(U$10&gt;TODAY(),EB.UJAustritt=""),T56,T56+U55)),"")</f>
        <v>0</v>
      </c>
      <c r="V56" s="247">
        <f ca="1">IF(EB.Anwendung&lt;&gt;"",IF(DAY(V$10)=1,IF(MONTH(Monat.Tag1)=1,ROUND(EB.ÜVMMS*1440,0)/1440,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V$10&gt;TODAY(),EB.UJAustritt=""),0,V55),
IF(AND(V$10&gt;TODAY(),EB.UJAustritt=""),U56,U56+V55)),"")</f>
        <v>0</v>
      </c>
      <c r="W56" s="247">
        <f ca="1">IF(EB.Anwendung&lt;&gt;"",IF(DAY(W$10)=1,IF(MONTH(Monat.Tag1)=1,ROUND(EB.ÜVMMS*1440,0)/1440,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W$10&gt;TODAY(),EB.UJAustritt=""),0,W55),
IF(AND(W$10&gt;TODAY(),EB.UJAustritt=""),V56,V56+W55)),"")</f>
        <v>0</v>
      </c>
      <c r="X56" s="247">
        <f ca="1">IF(EB.Anwendung&lt;&gt;"",IF(DAY(X$10)=1,IF(MONTH(Monat.Tag1)=1,ROUND(EB.ÜVMMS*1440,0)/1440,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X$10&gt;TODAY(),EB.UJAustritt=""),0,X55),
IF(AND(X$10&gt;TODAY(),EB.UJAustritt=""),W56,W56+X55)),"")</f>
        <v>0</v>
      </c>
      <c r="Y56" s="247">
        <f ca="1">IF(EB.Anwendung&lt;&gt;"",IF(DAY(Y$10)=1,IF(MONTH(Monat.Tag1)=1,ROUND(EB.ÜVMMS*1440,0)/1440,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Y$10&gt;TODAY(),EB.UJAustritt=""),0,Y55),
IF(AND(Y$10&gt;TODAY(),EB.UJAustritt=""),X56,X56+Y55)),"")</f>
        <v>0</v>
      </c>
      <c r="Z56" s="247">
        <f ca="1">IF(EB.Anwendung&lt;&gt;"",IF(DAY(Z$10)=1,IF(MONTH(Monat.Tag1)=1,ROUND(EB.ÜVMMS*1440,0)/1440,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Z$10&gt;TODAY(),EB.UJAustritt=""),0,Z55),
IF(AND(Z$10&gt;TODAY(),EB.UJAustritt=""),Y56,Y56+Z55)),"")</f>
        <v>0</v>
      </c>
      <c r="AA56" s="247">
        <f ca="1">IF(EB.Anwendung&lt;&gt;"",IF(DAY(AA$10)=1,IF(MONTH(Monat.Tag1)=1,ROUND(EB.ÜVMMS*1440,0)/1440,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A$10&gt;TODAY(),EB.UJAustritt=""),0,AA55),
IF(AND(AA$10&gt;TODAY(),EB.UJAustritt=""),Z56,Z56+AA55)),"")</f>
        <v>0</v>
      </c>
      <c r="AB56" s="247">
        <f ca="1">IF(EB.Anwendung&lt;&gt;"",IF(DAY(AB$10)=1,IF(MONTH(Monat.Tag1)=1,ROUND(EB.ÜVMMS*1440,0)/1440,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B$10&gt;TODAY(),EB.UJAustritt=""),0,AB55),
IF(AND(AB$10&gt;TODAY(),EB.UJAustritt=""),AA56,AA56+AB55)),"")</f>
        <v>0</v>
      </c>
      <c r="AC56" s="247">
        <f ca="1">IF(EB.Anwendung&lt;&gt;"",IF(DAY(AC$10)=1,IF(MONTH(Monat.Tag1)=1,ROUND(EB.ÜVMMS*1440,0)/1440,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C$10&gt;TODAY(),EB.UJAustritt=""),0,AC55),
IF(AND(AC$10&gt;TODAY(),EB.UJAustritt=""),AB56,AB56+AC55)),"")</f>
        <v>0</v>
      </c>
      <c r="AD56" s="247">
        <f ca="1">IF(EB.Anwendung&lt;&gt;"",IF(DAY(AD$10)=1,IF(MONTH(Monat.Tag1)=1,ROUND(EB.ÜVMMS*1440,0)/1440,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D$10&gt;TODAY(),EB.UJAustritt=""),0,AD55),
IF(AND(AD$10&gt;TODAY(),EB.UJAustritt=""),AC56,AC56+AD55)),"")</f>
        <v>0</v>
      </c>
      <c r="AE56" s="247">
        <f ca="1">IF(EB.Anwendung&lt;&gt;"",IF(DAY(AE$10)=1,IF(MONTH(Monat.Tag1)=1,ROUND(EB.ÜVMMS*1440,0)/1440,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E$10&gt;TODAY(),EB.UJAustritt=""),0,AE55),
IF(AND(AE$10&gt;TODAY(),EB.UJAustritt=""),AD56,AD56+AE55)),"")</f>
        <v>0</v>
      </c>
      <c r="AF56" s="247">
        <f ca="1">IF(EB.Anwendung&lt;&gt;"",IF(DAY(AF$10)=1,IF(MONTH(Monat.Tag1)=1,ROUND(EB.ÜVMMS*1440,0)/1440,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F$10&gt;TODAY(),EB.UJAustritt=""),0,AF55),
IF(AND(AF$10&gt;TODAY(),EB.UJAustritt=""),AE56,AE56+AF55)),"")</f>
        <v>0</v>
      </c>
      <c r="AG56" s="205" t="str">
        <f t="shared" si="2"/>
        <v>current extra/minus hours</v>
      </c>
      <c r="AH56" s="218"/>
      <c r="AI56" s="238">
        <f ca="1">OFFSET(B56,0,DAY(EOMONTH(Monat.Tag1,0))-1,1,1)</f>
        <v>0</v>
      </c>
      <c r="AJ56" s="214"/>
      <c r="AK56" s="209"/>
      <c r="AL56" s="209"/>
      <c r="AM56" s="209"/>
      <c r="AN56" s="208"/>
      <c r="AO56" s="209"/>
      <c r="AP56" s="209"/>
      <c r="AQ56" s="119"/>
    </row>
    <row r="57" spans="1:43" s="42" customFormat="1" ht="15" customHeight="1" outlineLevel="1" x14ac:dyDescent="0.2">
      <c r="A57" s="248"/>
      <c r="B57" s="249"/>
      <c r="C57" s="249"/>
      <c r="D57" s="249"/>
      <c r="E57" s="191"/>
      <c r="F57" s="249"/>
      <c r="G57" s="249"/>
      <c r="H57" s="250"/>
      <c r="I57" s="249"/>
      <c r="J57" s="251"/>
      <c r="K57" s="249"/>
      <c r="L57" s="252"/>
      <c r="M57" s="249"/>
      <c r="N57" s="249"/>
      <c r="O57" s="250"/>
      <c r="P57" s="249"/>
      <c r="Q57" s="191"/>
      <c r="R57" s="249"/>
      <c r="S57" s="252"/>
      <c r="T57" s="249"/>
      <c r="U57" s="249"/>
      <c r="V57" s="250"/>
      <c r="W57" s="249"/>
      <c r="X57" s="253"/>
      <c r="Y57" s="249"/>
      <c r="Z57" s="191"/>
      <c r="AA57" s="249"/>
      <c r="AB57" s="249"/>
      <c r="AC57" s="250"/>
      <c r="AD57" s="249"/>
      <c r="AE57" s="191"/>
      <c r="AF57" s="254"/>
      <c r="AG57" s="212" t="s">
        <v>117</v>
      </c>
      <c r="AH57" s="43" t="s">
        <v>2</v>
      </c>
      <c r="AI57" s="73"/>
      <c r="AJ57" s="255"/>
      <c r="AK57" s="256"/>
      <c r="AL57" s="209"/>
      <c r="AM57" s="209"/>
      <c r="AN57" s="208"/>
      <c r="AO57" s="257"/>
      <c r="AP57" s="257"/>
      <c r="AQ57" s="163"/>
    </row>
    <row r="58" spans="1:43" s="44" customFormat="1" ht="15" customHeight="1" x14ac:dyDescent="0.2">
      <c r="A58" s="258"/>
      <c r="B58" s="252"/>
      <c r="C58" s="252"/>
      <c r="D58" s="252"/>
      <c r="E58" s="191"/>
      <c r="F58" s="252"/>
      <c r="G58" s="252"/>
      <c r="H58" s="252"/>
      <c r="I58" s="252"/>
      <c r="J58" s="191"/>
      <c r="K58" s="252"/>
      <c r="L58" s="252"/>
      <c r="M58" s="252"/>
      <c r="N58" s="252"/>
      <c r="O58" s="252"/>
      <c r="P58" s="252"/>
      <c r="Q58" s="191"/>
      <c r="R58" s="252"/>
      <c r="S58" s="252"/>
      <c r="T58" s="252"/>
      <c r="U58" s="252"/>
      <c r="V58" s="252"/>
      <c r="W58" s="252"/>
      <c r="X58" s="253"/>
      <c r="Y58" s="252"/>
      <c r="Z58" s="191"/>
      <c r="AA58" s="252"/>
      <c r="AB58" s="252"/>
      <c r="AC58" s="252"/>
      <c r="AD58" s="252"/>
      <c r="AE58" s="191"/>
      <c r="AF58" s="259"/>
      <c r="AG58" s="260" t="s">
        <v>78</v>
      </c>
      <c r="AH58" s="218"/>
      <c r="AI58" s="238">
        <f ca="1">IF(AH57="+",(Monat.ZUeZ.Total+AI57),(Monat.ZUeZ.Total-AI57))</f>
        <v>0</v>
      </c>
      <c r="AJ58" s="261"/>
      <c r="AK58" s="262"/>
      <c r="AL58" s="245">
        <f ca="1">IF(EB.Anwendung&lt;&gt;"",IF(MONTH(Monat.Tag1)=1,EB.MMS,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f>
        <v>0</v>
      </c>
      <c r="AM58" s="209"/>
      <c r="AN58" s="246">
        <f ca="1">AI58</f>
        <v>0</v>
      </c>
      <c r="AO58" s="209"/>
      <c r="AP58" s="209"/>
      <c r="AQ58" s="131"/>
    </row>
    <row r="59" spans="1:43" s="38" customFormat="1" ht="11.25" customHeight="1" x14ac:dyDescent="0.2">
      <c r="A59" s="220"/>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2"/>
      <c r="AG59" s="205"/>
      <c r="AH59" s="188"/>
      <c r="AI59" s="213"/>
      <c r="AJ59" s="214"/>
      <c r="AK59" s="209"/>
      <c r="AL59" s="209"/>
      <c r="AM59" s="209"/>
      <c r="AN59" s="208"/>
      <c r="AO59" s="209"/>
      <c r="AP59" s="209"/>
      <c r="AQ59" s="119"/>
    </row>
    <row r="60" spans="1:43" s="38" customFormat="1" ht="15" customHeight="1" x14ac:dyDescent="0.2">
      <c r="A60" s="212" t="s">
        <v>217</v>
      </c>
      <c r="B60" s="263" t="str">
        <f ca="1">IF(EB.Wochenarbeitszeit=50/24,IF(T.50_Vetsuisse,IF(WEEKDAY(B$10,2)=7,MAX(0,SUM(OFFSET(B51,0,-MIN(6,DAY(B$10)-1),1,MIN(7,DAY(B$10))))+IF(AND(MONTH(Monat.Tag1)&lt;&gt;1,DAY(B$10)&lt;7),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-1/24*50),""),""),IF(B45=0,"",B45))</f>
        <v/>
      </c>
      <c r="C60" s="263" t="str">
        <f ca="1">IF(EB.Wochenarbeitszeit=50/24,IF(T.50_Vetsuisse,IF(WEEKDAY(C$10,2)=7,MAX(0,SUM(OFFSET(C51,0,-MIN(6,DAY(C$10)-1),1,MIN(7,DAY(C$10))))+IF(AND(MONTH(Monat.Tag1)&lt;&gt;1,DAY(C$10)&lt;7),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-1/24*50),""),""),IF(C45=0,"",C45))</f>
        <v/>
      </c>
      <c r="D60" s="263" t="str">
        <f ca="1">IF(EB.Wochenarbeitszeit=50/24,IF(T.50_Vetsuisse,IF(WEEKDAY(D$10,2)=7,MAX(0,SUM(OFFSET(D51,0,-MIN(6,DAY(D$10)-1),1,MIN(7,DAY(D$10))))+IF(AND(MONTH(Monat.Tag1)&lt;&gt;1,DAY(D$10)&lt;7),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-1/24*50),""),""),IF(D45=0,"",D45))</f>
        <v/>
      </c>
      <c r="E60" s="264" t="str">
        <f ca="1">IF(EB.Wochenarbeitszeit=50/24,IF(T.50_Vetsuisse,IF(WEEKDAY(E$10,2)=7,MAX(0,SUM(OFFSET(E51,0,-MIN(6,DAY(E$10)-1),1,MIN(7,DAY(E$10))))+IF(AND(MONTH(Monat.Tag1)&lt;&gt;1,DAY(E$10)&lt;7),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-1/24*50),""),""),IF(E45=0,"",E45))</f>
        <v/>
      </c>
      <c r="F60" s="263" t="str">
        <f ca="1">IF(EB.Wochenarbeitszeit=50/24,IF(T.50_Vetsuisse,IF(WEEKDAY(F$10,2)=7,MAX(0,SUM(OFFSET(F51,0,-MIN(6,DAY(F$10)-1),1,MIN(7,DAY(F$10))))+IF(AND(MONTH(Monat.Tag1)&lt;&gt;1,DAY(F$10)&lt;7),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-1/24*50),""),""),IF(F45=0,"",F45))</f>
        <v/>
      </c>
      <c r="G60" s="263" t="str">
        <f ca="1">IF(EB.Wochenarbeitszeit=50/24,IF(T.50_Vetsuisse,IF(WEEKDAY(G$10,2)=7,MAX(0,SUM(OFFSET(G51,0,-MIN(6,DAY(G$10)-1),1,MIN(7,DAY(G$10))))+IF(AND(MONTH(Monat.Tag1)&lt;&gt;1,DAY(G$10)&lt;7),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-1/24*50),""),""),IF(G45=0,"",G45))</f>
        <v/>
      </c>
      <c r="H60" s="263" t="str">
        <f ca="1">IF(EB.Wochenarbeitszeit=50/24,IF(T.50_Vetsuisse,IF(WEEKDAY(H$10,2)=7,MAX(0,SUM(OFFSET(H51,0,-MIN(6,DAY(H$10)-1),1,MIN(7,DAY(H$10))))+IF(AND(MONTH(Monat.Tag1)&lt;&gt;1,DAY(H$10)&lt;7),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-1/24*50),""),""),IF(H45=0,"",H45))</f>
        <v/>
      </c>
      <c r="I60" s="263" t="str">
        <f ca="1">IF(EB.Wochenarbeitszeit=50/24,IF(T.50_Vetsuisse,IF(WEEKDAY(I$10,2)=7,MAX(0,SUM(OFFSET(I51,0,-MIN(6,DAY(I$10)-1),1,MIN(7,DAY(I$10))))+IF(AND(MONTH(Monat.Tag1)&lt;&gt;1,DAY(I$10)&lt;7),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-1/24*50),""),""),IF(I45=0,"",I45))</f>
        <v/>
      </c>
      <c r="J60" s="264" t="str">
        <f ca="1">IF(EB.Wochenarbeitszeit=50/24,IF(T.50_Vetsuisse,IF(WEEKDAY(J$10,2)=7,MAX(0,SUM(OFFSET(J51,0,-MIN(6,DAY(J$10)-1),1,MIN(7,DAY(J$10))))+IF(AND(MONTH(Monat.Tag1)&lt;&gt;1,DAY(J$10)&lt;7),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-1/24*50),""),""),IF(J45=0,"",J45))</f>
        <v/>
      </c>
      <c r="K60" s="263" t="str">
        <f ca="1">IF(EB.Wochenarbeitszeit=50/24,IF(T.50_Vetsuisse,IF(WEEKDAY(K$10,2)=7,MAX(0,SUM(OFFSET(K51,0,-MIN(6,DAY(K$10)-1),1,MIN(7,DAY(K$10))))+IF(AND(MONTH(Monat.Tag1)&lt;&gt;1,DAY(K$10)&lt;7),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-1/24*50),""),""),IF(K45=0,"",K45))</f>
        <v/>
      </c>
      <c r="L60" s="264" t="str">
        <f ca="1">IF(EB.Wochenarbeitszeit=50/24,IF(T.50_Vetsuisse,IF(WEEKDAY(L$10,2)=7,MAX(0,SUM(OFFSET(L51,0,-MIN(6,DAY(L$10)-1),1,MIN(7,DAY(L$10))))+IF(AND(MONTH(Monat.Tag1)&lt;&gt;1,DAY(L$10)&lt;7),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-1/24*50),""),""),IF(L45=0,"",L45))</f>
        <v/>
      </c>
      <c r="M60" s="263" t="str">
        <f ca="1">IF(EB.Wochenarbeitszeit=50/24,IF(T.50_Vetsuisse,IF(WEEKDAY(M$10,2)=7,MAX(0,SUM(OFFSET(M51,0,-MIN(6,DAY(M$10)-1),1,MIN(7,DAY(M$10))))+IF(AND(MONTH(Monat.Tag1)&lt;&gt;1,DAY(M$10)&lt;7),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-1/24*50),""),""),IF(M45=0,"",M45))</f>
        <v/>
      </c>
      <c r="N60" s="263" t="str">
        <f ca="1">IF(EB.Wochenarbeitszeit=50/24,IF(T.50_Vetsuisse,IF(WEEKDAY(N$10,2)=7,MAX(0,SUM(OFFSET(N51,0,-MIN(6,DAY(N$10)-1),1,MIN(7,DAY(N$10))))+IF(AND(MONTH(Monat.Tag1)&lt;&gt;1,DAY(N$10)&lt;7),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-1/24*50),""),""),IF(N45=0,"",N45))</f>
        <v/>
      </c>
      <c r="O60" s="263" t="str">
        <f ca="1">IF(EB.Wochenarbeitszeit=50/24,IF(T.50_Vetsuisse,IF(WEEKDAY(O$10,2)=7,MAX(0,SUM(OFFSET(O51,0,-MIN(6,DAY(O$10)-1),1,MIN(7,DAY(O$10))))+IF(AND(MONTH(Monat.Tag1)&lt;&gt;1,DAY(O$10)&lt;7),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-1/24*50),""),""),IF(O45=0,"",O45))</f>
        <v/>
      </c>
      <c r="P60" s="263" t="str">
        <f ca="1">IF(EB.Wochenarbeitszeit=50/24,IF(T.50_Vetsuisse,IF(WEEKDAY(P$10,2)=7,MAX(0,SUM(OFFSET(P51,0,-MIN(6,DAY(P$10)-1),1,MIN(7,DAY(P$10))))+IF(AND(MONTH(Monat.Tag1)&lt;&gt;1,DAY(P$10)&lt;7),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-1/24*50),""),""),IF(P45=0,"",P45))</f>
        <v/>
      </c>
      <c r="Q60" s="264" t="str">
        <f ca="1">IF(EB.Wochenarbeitszeit=50/24,IF(T.50_Vetsuisse,IF(WEEKDAY(Q$10,2)=7,MAX(0,SUM(OFFSET(Q51,0,-MIN(6,DAY(Q$10)-1),1,MIN(7,DAY(Q$10))))+IF(AND(MONTH(Monat.Tag1)&lt;&gt;1,DAY(Q$10)&lt;7),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-1/24*50),""),""),IF(Q45=0,"",Q45))</f>
        <v/>
      </c>
      <c r="R60" s="263" t="str">
        <f ca="1">IF(EB.Wochenarbeitszeit=50/24,IF(T.50_Vetsuisse,IF(WEEKDAY(R$10,2)=7,MAX(0,SUM(OFFSET(R51,0,-MIN(6,DAY(R$10)-1),1,MIN(7,DAY(R$10))))+IF(AND(MONTH(Monat.Tag1)&lt;&gt;1,DAY(R$10)&lt;7),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-1/24*50),""),""),IF(R45=0,"",R45))</f>
        <v/>
      </c>
      <c r="S60" s="264" t="str">
        <f ca="1">IF(EB.Wochenarbeitszeit=50/24,IF(T.50_Vetsuisse,IF(WEEKDAY(S$10,2)=7,MAX(0,SUM(OFFSET(S51,0,-MIN(6,DAY(S$10)-1),1,MIN(7,DAY(S$10))))+IF(AND(MONTH(Monat.Tag1)&lt;&gt;1,DAY(S$10)&lt;7),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-1/24*50),""),""),IF(S45=0,"",S45))</f>
        <v/>
      </c>
      <c r="T60" s="264" t="str">
        <f ca="1">IF(EB.Wochenarbeitszeit=50/24,IF(T.50_Vetsuisse,IF(WEEKDAY(T$10,2)=7,MAX(0,SUM(OFFSET(T51,0,-MIN(6,DAY(T$10)-1),1,MIN(7,DAY(T$10))))+IF(AND(MONTH(Monat.Tag1)&lt;&gt;1,DAY(T$10)&lt;7),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-1/24*50),""),""),IF(T45=0,"",T45))</f>
        <v/>
      </c>
      <c r="U60" s="263" t="str">
        <f ca="1">IF(EB.Wochenarbeitszeit=50/24,IF(T.50_Vetsuisse,IF(WEEKDAY(U$10,2)=7,MAX(0,SUM(OFFSET(U51,0,-MIN(6,DAY(U$10)-1),1,MIN(7,DAY(U$10))))+IF(AND(MONTH(Monat.Tag1)&lt;&gt;1,DAY(U$10)&lt;7),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-1/24*50),""),""),IF(U45=0,"",U45))</f>
        <v/>
      </c>
      <c r="V60" s="263" t="str">
        <f ca="1">IF(EB.Wochenarbeitszeit=50/24,IF(T.50_Vetsuisse,IF(WEEKDAY(V$10,2)=7,MAX(0,SUM(OFFSET(V51,0,-MIN(6,DAY(V$10)-1),1,MIN(7,DAY(V$10))))+IF(AND(MONTH(Monat.Tag1)&lt;&gt;1,DAY(V$10)&lt;7),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-1/24*50),""),""),IF(V45=0,"",V45))</f>
        <v/>
      </c>
      <c r="W60" s="263" t="str">
        <f ca="1">IF(EB.Wochenarbeitszeit=50/24,IF(T.50_Vetsuisse,IF(WEEKDAY(W$10,2)=7,MAX(0,SUM(OFFSET(W51,0,-MIN(6,DAY(W$10)-1),1,MIN(7,DAY(W$10))))+IF(AND(MONTH(Monat.Tag1)&lt;&gt;1,DAY(W$10)&lt;7),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-1/24*50),""),""),IF(W45=0,"",W45))</f>
        <v/>
      </c>
      <c r="X60" s="264" t="str">
        <f ca="1">IF(EB.Wochenarbeitszeit=50/24,IF(T.50_Vetsuisse,IF(WEEKDAY(X$10,2)=7,MAX(0,SUM(OFFSET(X51,0,-MIN(6,DAY(X$10)-1),1,MIN(7,DAY(X$10))))+IF(AND(MONTH(Monat.Tag1)&lt;&gt;1,DAY(X$10)&lt;7),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-1/24*50),""),""),IF(X45=0,"",X45))</f>
        <v/>
      </c>
      <c r="Y60" s="263" t="str">
        <f ca="1">IF(EB.Wochenarbeitszeit=50/24,IF(T.50_Vetsuisse,IF(WEEKDAY(Y$10,2)=7,MAX(0,SUM(OFFSET(Y51,0,-MIN(6,DAY(Y$10)-1),1,MIN(7,DAY(Y$10))))+IF(AND(MONTH(Monat.Tag1)&lt;&gt;1,DAY(Y$10)&lt;7),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-1/24*50),""),""),IF(Y45=0,"",Y45))</f>
        <v/>
      </c>
      <c r="Z60" s="265" t="str">
        <f ca="1">IF(EB.Wochenarbeitszeit=50/24,IF(T.50_Vetsuisse,IF(WEEKDAY(Z$10,2)=7,MAX(0,SUM(OFFSET(Z51,0,-MIN(6,DAY(Z$10)-1),1,MIN(7,DAY(Z$10))))+IF(AND(MONTH(Monat.Tag1)&lt;&gt;1,DAY(Z$10)&lt;7),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-1/24*50),""),""),IF(Z45=0,"",Z45))</f>
        <v/>
      </c>
      <c r="AA60" s="263" t="str">
        <f ca="1">IF(EB.Wochenarbeitszeit=50/24,IF(T.50_Vetsuisse,IF(WEEKDAY(AA$10,2)=7,MAX(0,SUM(OFFSET(AA51,0,-MIN(6,DAY(AA$10)-1),1,MIN(7,DAY(AA$10))))+IF(AND(MONTH(Monat.Tag1)&lt;&gt;1,DAY(AA$10)&lt;7),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-1/24*50),""),""),IF(AA45=0,"",AA45))</f>
        <v/>
      </c>
      <c r="AB60" s="263" t="str">
        <f ca="1">IF(EB.Wochenarbeitszeit=50/24,IF(T.50_Vetsuisse,IF(WEEKDAY(AB$10,2)=7,MAX(0,SUM(OFFSET(AB51,0,-MIN(6,DAY(AB$10)-1),1,MIN(7,DAY(AB$10))))+IF(AND(MONTH(Monat.Tag1)&lt;&gt;1,DAY(AB$10)&lt;7),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-1/24*50),""),""),IF(AB45=0,"",AB45))</f>
        <v/>
      </c>
      <c r="AC60" s="263" t="str">
        <f ca="1">IF(EB.Wochenarbeitszeit=50/24,IF(T.50_Vetsuisse,IF(WEEKDAY(AC$10,2)=7,MAX(0,SUM(OFFSET(AC51,0,-MIN(6,DAY(AC$10)-1),1,MIN(7,DAY(AC$10))))+IF(AND(MONTH(Monat.Tag1)&lt;&gt;1,DAY(AC$10)&lt;7),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-1/24*50),""),""),IF(AC45=0,"",AC45))</f>
        <v/>
      </c>
      <c r="AD60" s="263" t="str">
        <f ca="1">IF(EB.Wochenarbeitszeit=50/24,IF(T.50_Vetsuisse,IF(WEEKDAY(AD$10,2)=7,MAX(0,SUM(OFFSET(AD51,0,-MIN(6,DAY(AD$10)-1),1,MIN(7,DAY(AD$10))))+IF(AND(MONTH(Monat.Tag1)&lt;&gt;1,DAY(AD$10)&lt;7),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-1/24*50),""),""),IF(AD45=0,"",AD45))</f>
        <v/>
      </c>
      <c r="AE60" s="264" t="str">
        <f ca="1">IF(EB.Wochenarbeitszeit=50/24,IF(T.50_Vetsuisse,IF(WEEKDAY(AE$10,2)=7,MAX(0,SUM(OFFSET(AE51,0,-MIN(6,DAY(AE$10)-1),1,MIN(7,DAY(AE$10))))+IF(AND(MONTH(Monat.Tag1)&lt;&gt;1,DAY(AE$10)&lt;7),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-1/24*50),""),""),IF(AE45=0,"",AE45))</f>
        <v/>
      </c>
      <c r="AF60" s="263" t="str">
        <f ca="1">IF(EB.Wochenarbeitszeit=50/24,IF(T.50_Vetsuisse,IF(WEEKDAY(AF$10,2)=7,MAX(0,SUM(OFFSET(AF51,0,-MIN(6,DAY(AF$10)-1),1,MIN(7,DAY(AF$10))))+IF(AND(MONTH(Monat.Tag1)&lt;&gt;1,DAY(AF$10)&lt;7),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-1/24*50),""),""),IF(AF45=0,"",AF45))</f>
        <v/>
      </c>
      <c r="AG60" s="205" t="str">
        <f>A60</f>
        <v>Ordered overtime</v>
      </c>
      <c r="AH60" s="218"/>
      <c r="AI60" s="238">
        <f ca="1">SUM(B60:AF60)</f>
        <v>0</v>
      </c>
      <c r="AJ60" s="214"/>
      <c r="AK60" s="209"/>
      <c r="AL60" s="245">
        <f ca="1">IF(EB.Anwendung&lt;&gt;"",IF(MONTH(Monat.Tag1)=1,0,IF(MONTH(Monat.Tag1)=2,January!Monat.AnUeZUeVM,IF(MONTH(Monat.Tag1)=3,February!Monat.AnUeZUeVM,IF(MONTH(Monat.Tag1)=4,March!Monat.AnUeZUeVM,IF(MONTH(Monat.Tag1)=5,April!Monat.AnUeZUeVM,IF(MONTH(Monat.Tag1)=6,May!Monat.AnUeZUeVM,IF(MONTH(Monat.Tag1)=7,June!Monat.AnUeZUeVM,IF(MONTH(Monat.Tag1)=8,July!Monat.AnUeZUeVM,IF(MONTH(Monat.Tag1)=9,August!Monat.AnUeZUeVM,IF(MONTH(Monat.Tag1)=10,September!Monat.AnUeZUeVM,IF(MONTH(Monat.Tag1)=11,October!Monat.AnUeZUeVM,IF(MONTH(Monat.Tag1)=12,November!Monat.AnUeZUeVM,"")))))))))))),"")</f>
        <v>0</v>
      </c>
      <c r="AM60" s="209"/>
      <c r="AN60" s="246">
        <f ca="1">AI60+AL60</f>
        <v>0</v>
      </c>
      <c r="AO60" s="246">
        <f ca="1">SUM(OFFSET(Jahr.AngÜZ,-12,0,MONTH(Monat.Tag1),1))</f>
        <v>0</v>
      </c>
      <c r="AP60" s="246">
        <f ca="1">Jahr.AngÜZ</f>
        <v>0</v>
      </c>
      <c r="AQ60" s="119"/>
    </row>
    <row r="61" spans="1:43" s="38" customFormat="1" ht="15" customHeight="1" x14ac:dyDescent="0.2">
      <c r="A61" s="212" t="s">
        <v>218</v>
      </c>
      <c r="B61" s="27"/>
      <c r="C61" s="27"/>
      <c r="D61" s="27"/>
      <c r="E61" s="27"/>
      <c r="F61" s="27"/>
      <c r="G61" s="27"/>
      <c r="H61" s="27"/>
      <c r="I61" s="27"/>
      <c r="J61" s="27"/>
      <c r="K61" s="27"/>
      <c r="L61" s="27"/>
      <c r="M61" s="27"/>
      <c r="N61" s="27"/>
      <c r="O61" s="27"/>
      <c r="P61" s="27"/>
      <c r="Q61" s="27"/>
      <c r="R61" s="27"/>
      <c r="S61" s="27"/>
      <c r="T61" s="27"/>
      <c r="U61" s="27"/>
      <c r="V61" s="27"/>
      <c r="W61" s="27"/>
      <c r="X61" s="27"/>
      <c r="Y61" s="27"/>
      <c r="Z61" s="39"/>
      <c r="AA61" s="27"/>
      <c r="AB61" s="27"/>
      <c r="AC61" s="27"/>
      <c r="AD61" s="27"/>
      <c r="AE61" s="27"/>
      <c r="AF61" s="27"/>
      <c r="AG61" s="205" t="str">
        <f>A61</f>
        <v>Compensation overtime</v>
      </c>
      <c r="AH61" s="218"/>
      <c r="AI61" s="238">
        <f>SUM(B61:AF61)</f>
        <v>0</v>
      </c>
      <c r="AJ61" s="214"/>
      <c r="AK61" s="209"/>
      <c r="AL61" s="209"/>
      <c r="AM61" s="209"/>
      <c r="AN61" s="208"/>
      <c r="AO61" s="209"/>
      <c r="AP61" s="209"/>
      <c r="AQ61" s="119"/>
    </row>
    <row r="62" spans="1:43" s="42" customFormat="1" ht="15" hidden="1" customHeight="1" outlineLevel="1" x14ac:dyDescent="0.2">
      <c r="A62" s="248"/>
      <c r="B62" s="253"/>
      <c r="C62" s="253"/>
      <c r="D62" s="253"/>
      <c r="E62" s="191"/>
      <c r="F62" s="253"/>
      <c r="G62" s="253"/>
      <c r="H62" s="253"/>
      <c r="I62" s="253"/>
      <c r="J62" s="251"/>
      <c r="K62" s="253"/>
      <c r="L62" s="252"/>
      <c r="M62" s="253"/>
      <c r="N62" s="253"/>
      <c r="O62" s="253"/>
      <c r="P62" s="253"/>
      <c r="Q62" s="191"/>
      <c r="R62" s="253"/>
      <c r="S62" s="252"/>
      <c r="T62" s="253"/>
      <c r="U62" s="253"/>
      <c r="V62" s="253"/>
      <c r="W62" s="253"/>
      <c r="X62" s="253"/>
      <c r="Y62" s="253"/>
      <c r="Z62" s="191"/>
      <c r="AA62" s="253"/>
      <c r="AB62" s="253"/>
      <c r="AC62" s="253"/>
      <c r="AD62" s="253"/>
      <c r="AE62" s="191"/>
      <c r="AF62" s="266"/>
      <c r="AG62" s="267" t="s">
        <v>118</v>
      </c>
      <c r="AH62" s="268"/>
      <c r="AI62" s="238">
        <f ca="1">Monat.AnUeZ.Total-Monat.KomUeZ.Total</f>
        <v>0</v>
      </c>
      <c r="AJ62" s="214"/>
      <c r="AK62" s="257"/>
      <c r="AL62" s="257"/>
      <c r="AM62" s="209"/>
      <c r="AN62" s="257"/>
      <c r="AO62" s="257"/>
      <c r="AP62" s="257"/>
      <c r="AQ62" s="163"/>
    </row>
    <row r="63" spans="1:43" s="38" customFormat="1" ht="15" customHeight="1" collapsed="1" x14ac:dyDescent="0.2">
      <c r="A63" s="220"/>
      <c r="B63" s="191"/>
      <c r="C63" s="191"/>
      <c r="D63" s="191"/>
      <c r="E63" s="191"/>
      <c r="F63" s="191"/>
      <c r="G63" s="191"/>
      <c r="H63" s="191"/>
      <c r="I63" s="191"/>
      <c r="J63" s="191"/>
      <c r="K63" s="191"/>
      <c r="L63" s="252"/>
      <c r="M63" s="191"/>
      <c r="N63" s="191"/>
      <c r="O63" s="191"/>
      <c r="P63" s="191"/>
      <c r="Q63" s="191"/>
      <c r="R63" s="191"/>
      <c r="S63" s="252"/>
      <c r="T63" s="191"/>
      <c r="U63" s="191"/>
      <c r="V63" s="191"/>
      <c r="W63" s="191"/>
      <c r="X63" s="253"/>
      <c r="Y63" s="191"/>
      <c r="Z63" s="191"/>
      <c r="AA63" s="191"/>
      <c r="AB63" s="191"/>
      <c r="AC63" s="191"/>
      <c r="AD63" s="191"/>
      <c r="AE63" s="191"/>
      <c r="AF63" s="269"/>
      <c r="AG63" s="212" t="s">
        <v>215</v>
      </c>
      <c r="AH63" s="218"/>
      <c r="AI63" s="238">
        <f ca="1">IF(T.50_Vetsuisse,0,IF(AND(AI62&gt;0,Monat.ÜZZSBerechtigt=INDEX(T.JaNein.Bereich,1,1)),ROUND(AI62*0.25*1440,0)/1440,0))</f>
        <v>0</v>
      </c>
      <c r="AJ63" s="214"/>
      <c r="AK63" s="209"/>
      <c r="AL63" s="257"/>
      <c r="AM63" s="209"/>
      <c r="AN63" s="257"/>
      <c r="AO63" s="257"/>
      <c r="AP63" s="257"/>
      <c r="AQ63" s="119"/>
    </row>
    <row r="64" spans="1:43" s="38" customFormat="1" ht="15" hidden="1" customHeight="1" outlineLevel="1" x14ac:dyDescent="0.2">
      <c r="A64" s="220"/>
      <c r="B64" s="191"/>
      <c r="C64" s="191"/>
      <c r="D64" s="191"/>
      <c r="E64" s="191"/>
      <c r="F64" s="191"/>
      <c r="G64" s="191"/>
      <c r="H64" s="191"/>
      <c r="I64" s="191"/>
      <c r="J64" s="191"/>
      <c r="K64" s="191"/>
      <c r="L64" s="252"/>
      <c r="M64" s="191"/>
      <c r="N64" s="191"/>
      <c r="O64" s="191"/>
      <c r="P64" s="191"/>
      <c r="Q64" s="191"/>
      <c r="R64" s="191"/>
      <c r="S64" s="252"/>
      <c r="T64" s="191"/>
      <c r="U64" s="191"/>
      <c r="V64" s="191"/>
      <c r="W64" s="191"/>
      <c r="X64" s="253"/>
      <c r="Y64" s="191"/>
      <c r="Z64" s="191"/>
      <c r="AA64" s="191"/>
      <c r="AB64" s="191"/>
      <c r="AC64" s="191"/>
      <c r="AD64" s="191"/>
      <c r="AE64" s="191"/>
      <c r="AF64" s="269"/>
      <c r="AG64" s="212" t="s">
        <v>119</v>
      </c>
      <c r="AH64" s="45" t="s">
        <v>2</v>
      </c>
      <c r="AI64" s="46"/>
      <c r="AJ64" s="270"/>
      <c r="AK64" s="209"/>
      <c r="AL64" s="257"/>
      <c r="AM64" s="209"/>
      <c r="AN64" s="257"/>
      <c r="AO64" s="257"/>
      <c r="AP64" s="257"/>
      <c r="AQ64" s="119"/>
    </row>
    <row r="65" spans="1:43" s="42" customFormat="1" ht="15" customHeight="1" collapsed="1" x14ac:dyDescent="0.2">
      <c r="A65" s="248"/>
      <c r="B65" s="253"/>
      <c r="C65" s="253"/>
      <c r="D65" s="253"/>
      <c r="E65" s="191"/>
      <c r="F65" s="253"/>
      <c r="G65" s="253"/>
      <c r="H65" s="253"/>
      <c r="I65" s="253"/>
      <c r="J65" s="191"/>
      <c r="K65" s="253"/>
      <c r="L65" s="252"/>
      <c r="M65" s="253"/>
      <c r="N65" s="253"/>
      <c r="O65" s="253"/>
      <c r="P65" s="253"/>
      <c r="Q65" s="191"/>
      <c r="R65" s="253"/>
      <c r="S65" s="252"/>
      <c r="T65" s="253"/>
      <c r="U65" s="253"/>
      <c r="V65" s="253"/>
      <c r="W65" s="253"/>
      <c r="X65" s="253"/>
      <c r="Y65" s="253"/>
      <c r="Z65" s="191"/>
      <c r="AA65" s="253"/>
      <c r="AB65" s="253"/>
      <c r="AC65" s="253"/>
      <c r="AD65" s="253"/>
      <c r="AE65" s="191"/>
      <c r="AF65" s="266"/>
      <c r="AG65" s="260" t="s">
        <v>219</v>
      </c>
      <c r="AH65" s="268"/>
      <c r="AI65" s="238">
        <f ca="1">IF(AH64="+",(AI62+AI63+AI64),(AI62+AI63-AI64))</f>
        <v>0</v>
      </c>
      <c r="AJ65" s="261"/>
      <c r="AK65" s="271"/>
      <c r="AL65" s="245">
        <f ca="1">IF(EB.Anwendung&lt;&gt;"",IF(MONTH(Monat.Tag1)=1,EB.UeZ,IF(MONTH(Monat.Tag1)=2,January!Monat.UeZUeVM,IF(MONTH(Monat.Tag1)=3,February!Monat.UeZUeVM,IF(MONTH(Monat.Tag1)=4,March!Monat.UeZUeVM,IF(MONTH(Monat.Tag1)=5,April!Monat.UeZUeVM,IF(MONTH(Monat.Tag1)=6,May!Monat.UeZUeVM,IF(MONTH(Monat.Tag1)=7,June!Monat.UeZUeVM,IF(MONTH(Monat.Tag1)=8,July!Monat.UeZUeVM,IF(MONTH(Monat.Tag1)=9,August!Monat.UeZUeVM,IF(MONTH(Monat.Tag1)=10,September!Monat.UeZUeVM,IF(MONTH(Monat.Tag1)=11,October!Monat.UeZUeVM,IF(MONTH(Monat.Tag1)=12,November!Monat.UeZUeVM,"")))))))))))),"")</f>
        <v>0</v>
      </c>
      <c r="AM65" s="209"/>
      <c r="AN65" s="246">
        <f ca="1">AI65+AL65</f>
        <v>0</v>
      </c>
      <c r="AO65" s="246">
        <f ca="1">SUM(OFFSET(J.UeZ.Total,-12,0,MONTH(Monat.Tag1),1))</f>
        <v>0</v>
      </c>
      <c r="AP65" s="246">
        <f ca="1">J.UeZ.Total</f>
        <v>0</v>
      </c>
      <c r="AQ65" s="163"/>
    </row>
    <row r="66" spans="1:43" s="38" customFormat="1" ht="11.25" customHeight="1" outlineLevel="1" x14ac:dyDescent="0.2">
      <c r="A66" s="220"/>
      <c r="B66" s="354">
        <f ca="1">IF(EB.Anwendung&lt;&gt;"",
IF(AND(B$10&gt;TODAY(),$W$7&gt;0,B52&lt;=0),0,
IF(AND(B$10&gt;TODAY(),$W$7&lt;=0,B53&lt;=0),0,
IF(B85&lt;=0,1,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f>
        <v>1</v>
      </c>
      <c r="C66" s="354">
        <f ca="1">IF(EB.Anwendung&lt;&gt;"",
IF(AND(C$10&gt;TODAY(),$W$7&gt;0,C52&lt;=0),0,
IF(AND(C$10&gt;TODAY(),$W$7&lt;=0,C53&lt;=0),0,
IF(C85&lt;=0,1,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f>
        <v>1</v>
      </c>
      <c r="D66" s="354">
        <f ca="1">IF(EB.Anwendung&lt;&gt;"",
IF(AND(D$10&gt;TODAY(),$W$7&gt;0,D52&lt;=0),0,
IF(AND(D$10&gt;TODAY(),$W$7&lt;=0,D53&lt;=0),0,
IF(D85&lt;=0,1,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f>
        <v>0</v>
      </c>
      <c r="E66" s="354">
        <f ca="1">IF(EB.Anwendung&lt;&gt;"",
IF(AND(E$10&gt;TODAY(),$W$7&gt;0,E52&lt;=0),0,
IF(AND(E$10&gt;TODAY(),$W$7&lt;=0,E53&lt;=0),0,
IF(E85&lt;=0,1,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f>
        <v>0</v>
      </c>
      <c r="F66" s="354">
        <f ca="1">IF(EB.Anwendung&lt;&gt;"",
IF(AND(F$10&gt;TODAY(),$W$7&gt;0,F52&lt;=0),0,
IF(AND(F$10&gt;TODAY(),$W$7&lt;=0,F53&lt;=0),0,
IF(F85&lt;=0,1,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f>
        <v>1</v>
      </c>
      <c r="G66" s="354">
        <f ca="1">IF(EB.Anwendung&lt;&gt;"",
IF(AND(G$10&gt;TODAY(),$W$7&gt;0,G52&lt;=0),0,
IF(AND(G$10&gt;TODAY(),$W$7&lt;=0,G53&lt;=0),0,
IF(G85&lt;=0,1,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f>
        <v>1</v>
      </c>
      <c r="H66" s="354">
        <f ca="1">IF(EB.Anwendung&lt;&gt;"",
IF(AND(H$10&gt;TODAY(),$W$7&gt;0,H52&lt;=0),0,
IF(AND(H$10&gt;TODAY(),$W$7&lt;=0,H53&lt;=0),0,
IF(H85&lt;=0,1,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f>
        <v>1</v>
      </c>
      <c r="I66" s="354">
        <f ca="1">IF(EB.Anwendung&lt;&gt;"",
IF(AND(I$10&gt;TODAY(),$W$7&gt;0,I52&lt;=0),0,
IF(AND(I$10&gt;TODAY(),$W$7&lt;=0,I53&lt;=0),0,
IF(I85&lt;=0,1,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f>
        <v>1</v>
      </c>
      <c r="J66" s="354">
        <f ca="1">IF(EB.Anwendung&lt;&gt;"",
IF(AND(J$10&gt;TODAY(),$W$7&gt;0,J52&lt;=0),0,
IF(AND(J$10&gt;TODAY(),$W$7&lt;=0,J53&lt;=0),0,
IF(J85&lt;=0,1,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f>
        <v>1</v>
      </c>
      <c r="K66" s="354">
        <f ca="1">IF(EB.Anwendung&lt;&gt;"",
IF(AND(K$10&gt;TODAY(),$W$7&gt;0,K52&lt;=0),0,
IF(AND(K$10&gt;TODAY(),$W$7&lt;=0,K53&lt;=0),0,
IF(K85&lt;=0,1,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f>
        <v>0</v>
      </c>
      <c r="L66" s="431">
        <f ca="1">IF(EB.Anwendung&lt;&gt;"",
IF(AND(L$10&gt;TODAY(),$W$7&gt;0,L52&lt;=0),0,
IF(AND(L$10&gt;TODAY(),$W$7&lt;=0,L53&lt;=0),0,
IF(L85&lt;=0,1,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f>
        <v>0</v>
      </c>
      <c r="M66" s="354">
        <f ca="1">IF(EB.Anwendung&lt;&gt;"",
IF(AND(M$10&gt;TODAY(),$W$7&gt;0,M52&lt;=0),0,
IF(AND(M$10&gt;TODAY(),$W$7&lt;=0,M53&lt;=0),0,
IF(M85&lt;=0,1,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f>
        <v>1</v>
      </c>
      <c r="N66" s="354">
        <f ca="1">IF(EB.Anwendung&lt;&gt;"",
IF(AND(N$10&gt;TODAY(),$W$7&gt;0,N52&lt;=0),0,
IF(AND(N$10&gt;TODAY(),$W$7&lt;=0,N53&lt;=0),0,
IF(N85&lt;=0,1,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f>
        <v>1</v>
      </c>
      <c r="O66" s="354">
        <f ca="1">IF(EB.Anwendung&lt;&gt;"",
IF(AND(O$10&gt;TODAY(),$W$7&gt;0,O52&lt;=0),0,
IF(AND(O$10&gt;TODAY(),$W$7&lt;=0,O53&lt;=0),0,
IF(O85&lt;=0,1,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f>
        <v>1</v>
      </c>
      <c r="P66" s="354">
        <f ca="1">IF(EB.Anwendung&lt;&gt;"",
IF(AND(P$10&gt;TODAY(),$W$7&gt;0,P52&lt;=0),0,
IF(AND(P$10&gt;TODAY(),$W$7&lt;=0,P53&lt;=0),0,
IF(P85&lt;=0,1,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f>
        <v>1</v>
      </c>
      <c r="Q66" s="354">
        <f ca="1">IF(EB.Anwendung&lt;&gt;"",
IF(AND(Q$10&gt;TODAY(),$W$7&gt;0,Q52&lt;=0),0,
IF(AND(Q$10&gt;TODAY(),$W$7&lt;=0,Q53&lt;=0),0,
IF(Q85&lt;=0,1,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f>
        <v>1</v>
      </c>
      <c r="R66" s="354">
        <f ca="1">IF(EB.Anwendung&lt;&gt;"",
IF(AND(R$10&gt;TODAY(),$W$7&gt;0,R52&lt;=0),0,
IF(AND(R$10&gt;TODAY(),$W$7&lt;=0,R53&lt;=0),0,
IF(R85&lt;=0,1,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f>
        <v>0</v>
      </c>
      <c r="S66" s="431">
        <f ca="1">IF(EB.Anwendung&lt;&gt;"",
IF(AND(S$10&gt;TODAY(),$W$7&gt;0,S52&lt;=0),0,
IF(AND(S$10&gt;TODAY(),$W$7&lt;=0,S53&lt;=0),0,
IF(S85&lt;=0,1,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f>
        <v>0</v>
      </c>
      <c r="T66" s="354">
        <f ca="1">IF(EB.Anwendung&lt;&gt;"",
IF(AND(T$10&gt;TODAY(),$W$7&gt;0,T52&lt;=0),0,
IF(AND(T$10&gt;TODAY(),$W$7&lt;=0,T53&lt;=0),0,
IF(T85&lt;=0,1,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f>
        <v>1</v>
      </c>
      <c r="U66" s="354">
        <f ca="1">IF(EB.Anwendung&lt;&gt;"",
IF(AND(U$10&gt;TODAY(),$W$7&gt;0,U52&lt;=0),0,
IF(AND(U$10&gt;TODAY(),$W$7&lt;=0,U53&lt;=0),0,
IF(U85&lt;=0,1,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f>
        <v>1</v>
      </c>
      <c r="V66" s="354">
        <f ca="1">IF(EB.Anwendung&lt;&gt;"",
IF(AND(V$10&gt;TODAY(),$W$7&gt;0,V52&lt;=0),0,
IF(AND(V$10&gt;TODAY(),$W$7&lt;=0,V53&lt;=0),0,
IF(V85&lt;=0,1,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f>
        <v>1</v>
      </c>
      <c r="W66" s="354">
        <f ca="1">IF(EB.Anwendung&lt;&gt;"",
IF(AND(W$10&gt;TODAY(),$W$7&gt;0,W52&lt;=0),0,
IF(AND(W$10&gt;TODAY(),$W$7&lt;=0,W53&lt;=0),0,
IF(W85&lt;=0,1,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f>
        <v>1</v>
      </c>
      <c r="X66" s="432">
        <f ca="1">IF(EB.Anwendung&lt;&gt;"",
IF(AND(X$10&gt;TODAY(),$W$7&gt;0,X52&lt;=0),0,
IF(AND(X$10&gt;TODAY(),$W$7&lt;=0,X53&lt;=0),0,
IF(X85&lt;=0,1,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f>
        <v>1</v>
      </c>
      <c r="Y66" s="354">
        <f ca="1">IF(EB.Anwendung&lt;&gt;"",
IF(AND(Y$10&gt;TODAY(),$W$7&gt;0,Y52&lt;=0),0,
IF(AND(Y$10&gt;TODAY(),$W$7&lt;=0,Y53&lt;=0),0,
IF(Y85&lt;=0,1,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f>
        <v>0</v>
      </c>
      <c r="Z66" s="354">
        <f ca="1">IF(EB.Anwendung&lt;&gt;"",
IF(AND(Z$10&gt;TODAY(),$W$7&gt;0,Z52&lt;=0),0,
IF(AND(Z$10&gt;TODAY(),$W$7&lt;=0,Z53&lt;=0),0,
IF(Z85&lt;=0,1,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f>
        <v>0</v>
      </c>
      <c r="AA66" s="354">
        <f ca="1">IF(EB.Anwendung&lt;&gt;"",
IF(AND(AA$10&gt;TODAY(),$W$7&gt;0,AA52&lt;=0),0,
IF(AND(AA$10&gt;TODAY(),$W$7&lt;=0,AA53&lt;=0),0,
IF(AA85&lt;=0,1,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f>
        <v>1</v>
      </c>
      <c r="AB66" s="354">
        <f ca="1">IF(EB.Anwendung&lt;&gt;"",
IF(AND(AB$10&gt;TODAY(),$W$7&gt;0,AB52&lt;=0),0,
IF(AND(AB$10&gt;TODAY(),$W$7&lt;=0,AB53&lt;=0),0,
IF(AB85&lt;=0,1,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f>
        <v>1</v>
      </c>
      <c r="AC66" s="354">
        <f ca="1">IF(EB.Anwendung&lt;&gt;"",
IF(AND(AC$10&gt;TODAY(),$W$7&gt;0,AC52&lt;=0),0,
IF(AND(AC$10&gt;TODAY(),$W$7&lt;=0,AC53&lt;=0),0,
IF(AC85&lt;=0,1,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f>
        <v>1</v>
      </c>
      <c r="AD66" s="354">
        <f ca="1">IF(EB.Anwendung&lt;&gt;"",
IF(AND(AD$10&gt;TODAY(),$W$7&gt;0,AD52&lt;=0),0,
IF(AND(AD$10&gt;TODAY(),$W$7&lt;=0,AD53&lt;=0),0,
IF(AD85&lt;=0,1,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f>
        <v>1</v>
      </c>
      <c r="AE66" s="354">
        <f ca="1">IF(EB.Anwendung&lt;&gt;"",
IF(AND(AE$10&gt;TODAY(),$W$7&gt;0,AE52&lt;=0),0,
IF(AND(AE$10&gt;TODAY(),$W$7&lt;=0,AE53&lt;=0),0,
IF(AE85&lt;=0,1,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f>
        <v>1</v>
      </c>
      <c r="AF66" s="433">
        <f ca="1">IF(EB.Anwendung&lt;&gt;"",
IF(AND(AF$10&gt;TODAY(),$W$7&gt;0,AF52&lt;=0),0,
IF(AND(AF$10&gt;TODAY(),$W$7&lt;=0,AF53&lt;=0),0,
IF(AF85&lt;=0,1,
IF(DAY(AF$10)=1,IF(MONTH(Monat.Tag1)=1,1,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E68)))),"")</f>
        <v>0</v>
      </c>
      <c r="AG66" s="212"/>
      <c r="AH66" s="188"/>
      <c r="AI66" s="213"/>
      <c r="AJ66" s="214"/>
      <c r="AK66" s="209"/>
      <c r="AL66" s="209"/>
      <c r="AM66" s="209"/>
      <c r="AN66" s="208"/>
      <c r="AO66" s="209"/>
      <c r="AP66" s="209"/>
      <c r="AQ66" s="119"/>
    </row>
    <row r="67" spans="1:43" s="38" customFormat="1" ht="15" customHeight="1" outlineLevel="1" x14ac:dyDescent="0.2">
      <c r="A67" s="212" t="s">
        <v>79</v>
      </c>
      <c r="B67" s="27"/>
      <c r="C67" s="27"/>
      <c r="D67" s="27"/>
      <c r="E67" s="27"/>
      <c r="F67" s="27"/>
      <c r="G67" s="27"/>
      <c r="H67" s="27"/>
      <c r="I67" s="27"/>
      <c r="J67" s="27"/>
      <c r="K67" s="27"/>
      <c r="L67" s="27"/>
      <c r="M67" s="27"/>
      <c r="N67" s="27"/>
      <c r="O67" s="27"/>
      <c r="P67" s="27"/>
      <c r="Q67" s="27"/>
      <c r="R67" s="27"/>
      <c r="S67" s="27"/>
      <c r="T67" s="27"/>
      <c r="U67" s="27"/>
      <c r="V67" s="27"/>
      <c r="W67" s="27"/>
      <c r="X67" s="27"/>
      <c r="Y67" s="27"/>
      <c r="Z67" s="39"/>
      <c r="AA67" s="27"/>
      <c r="AB67" s="27"/>
      <c r="AC67" s="27"/>
      <c r="AD67" s="27"/>
      <c r="AE67" s="27"/>
      <c r="AF67" s="27"/>
      <c r="AG67" s="205" t="str">
        <f ca="1">A67 &amp; IFERROR(IF(SUMPRODUCT((B66:AF66=0)*(B67:AF67&gt;0))&gt;0," (!)",""),"")</f>
        <v>Compensation working hours</v>
      </c>
      <c r="AH67" s="218"/>
      <c r="AI67" s="238">
        <f>SUM(B67:AF67)</f>
        <v>0</v>
      </c>
      <c r="AJ67" s="261"/>
      <c r="AK67" s="245">
        <f ca="1">OFFSET(EB.MKAStd.Knoten,MONTH(Monat.Tag1),0,1,1)</f>
        <v>0.4375</v>
      </c>
      <c r="AL67" s="272">
        <f ca="1">IF(EB.Anwendung&lt;&gt;"",IF(MONTH(Monat.Tag1)=1,0,IF(MONTH(Monat.Tag1)=2,January!Monat.KomUeVM,IF(MONTH(Monat.Tag1)=3,February!Monat.KomUeVM,IF(MONTH(Monat.Tag1)=4,March!Monat.KomUeVM,IF(MONTH(Monat.Tag1)=5,April!Monat.KomUeVM,IF(MONTH(Monat.Tag1)=6,May!Monat.KomUeVM,IF(MONTH(Monat.Tag1)=7,June!Monat.KomUeVM,IF(MONTH(Monat.Tag1)=8,July!Monat.KomUeVM,IF(MONTH(Monat.Tag1)=9,August!Monat.KomUeVM,IF(MONTH(Monat.Tag1)=10,September!Monat.KomUeVM,IF(MONTH(Monat.Tag1)=11,October!Monat.KomUeVM,IF(MONTH(Monat.Tag1)=12,November!Monat.KomUeVM,"")))))))))))),"")</f>
        <v>3.9375</v>
      </c>
      <c r="AM67" s="209"/>
      <c r="AN67" s="246">
        <f ca="1">AK67+AL67-Monat.KomAZ.Total</f>
        <v>4.375</v>
      </c>
      <c r="AO67" s="246">
        <f ca="1">Jahresabrechnung!P12-SUM(OFFSET(Jahresabrechnung!P15,0,0,MONTH(Monat.Tag1),1))</f>
        <v>5.25</v>
      </c>
      <c r="AP67" s="246">
        <f ca="1">Jahresabrechnung!P28</f>
        <v>5.25</v>
      </c>
      <c r="AQ67" s="119"/>
    </row>
    <row r="68" spans="1:43" s="38" customFormat="1" ht="11.25" customHeight="1" x14ac:dyDescent="0.2">
      <c r="A68" s="220"/>
      <c r="B68" s="434">
        <f ca="1">IF(EB.Anwendung&lt;&gt;"",
IF(B67&gt;0,0,
IF(SUM(B23,B45)&gt;0,1,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
)),"")</f>
        <v>1</v>
      </c>
      <c r="C68" s="434">
        <f ca="1">IF(EB.Anwendung&lt;&gt;"",
IF(C67&gt;0,0,
IF(SUM(C23,C45)&gt;0,1,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
)),"")</f>
        <v>1</v>
      </c>
      <c r="D68" s="434">
        <f ca="1">IF(EB.Anwendung&lt;&gt;"",
IF(D67&gt;0,0,
IF(SUM(D23,D45)&gt;0,1,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
)),"")</f>
        <v>1</v>
      </c>
      <c r="E68" s="434">
        <f ca="1">IF(EB.Anwendung&lt;&gt;"",
IF(E67&gt;0,0,
IF(SUM(E23,E45)&gt;0,1,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
)),"")</f>
        <v>1</v>
      </c>
      <c r="F68" s="434">
        <f ca="1">IF(EB.Anwendung&lt;&gt;"",
IF(F67&gt;0,0,
IF(SUM(F23,F45)&gt;0,1,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
)),"")</f>
        <v>1</v>
      </c>
      <c r="G68" s="434">
        <f ca="1">IF(EB.Anwendung&lt;&gt;"",
IF(G67&gt;0,0,
IF(SUM(G23,G45)&gt;0,1,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
)),"")</f>
        <v>1</v>
      </c>
      <c r="H68" s="434">
        <f ca="1">IF(EB.Anwendung&lt;&gt;"",
IF(H67&gt;0,0,
IF(SUM(H23,H45)&gt;0,1,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
)),"")</f>
        <v>1</v>
      </c>
      <c r="I68" s="434">
        <f ca="1">IF(EB.Anwendung&lt;&gt;"",
IF(I67&gt;0,0,
IF(SUM(I23,I45)&gt;0,1,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
)),"")</f>
        <v>1</v>
      </c>
      <c r="J68" s="434">
        <f ca="1">IF(EB.Anwendung&lt;&gt;"",
IF(J67&gt;0,0,
IF(SUM(J23,J45)&gt;0,1,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
)),"")</f>
        <v>1</v>
      </c>
      <c r="K68" s="434">
        <f ca="1">IF(EB.Anwendung&lt;&gt;"",
IF(K67&gt;0,0,
IF(SUM(K23,K45)&gt;0,1,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
)),"")</f>
        <v>1</v>
      </c>
      <c r="L68" s="434">
        <f ca="1">IF(EB.Anwendung&lt;&gt;"",
IF(L67&gt;0,0,
IF(SUM(L23,L45)&gt;0,1,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
)),"")</f>
        <v>1</v>
      </c>
      <c r="M68" s="434">
        <f ca="1">IF(EB.Anwendung&lt;&gt;"",
IF(M67&gt;0,0,
IF(SUM(M23,M45)&gt;0,1,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
)),"")</f>
        <v>1</v>
      </c>
      <c r="N68" s="434">
        <f ca="1">IF(EB.Anwendung&lt;&gt;"",
IF(N67&gt;0,0,
IF(SUM(N23,N45)&gt;0,1,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
)),"")</f>
        <v>1</v>
      </c>
      <c r="O68" s="434">
        <f ca="1">IF(EB.Anwendung&lt;&gt;"",
IF(O67&gt;0,0,
IF(SUM(O23,O45)&gt;0,1,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
)),"")</f>
        <v>1</v>
      </c>
      <c r="P68" s="434">
        <f ca="1">IF(EB.Anwendung&lt;&gt;"",
IF(P67&gt;0,0,
IF(SUM(P23,P45)&gt;0,1,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
)),"")</f>
        <v>1</v>
      </c>
      <c r="Q68" s="434">
        <f ca="1">IF(EB.Anwendung&lt;&gt;"",
IF(Q67&gt;0,0,
IF(SUM(Q23,Q45)&gt;0,1,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
)),"")</f>
        <v>1</v>
      </c>
      <c r="R68" s="434">
        <f ca="1">IF(EB.Anwendung&lt;&gt;"",
IF(R67&gt;0,0,
IF(SUM(R23,R45)&gt;0,1,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
)),"")</f>
        <v>1</v>
      </c>
      <c r="S68" s="434">
        <f ca="1">IF(EB.Anwendung&lt;&gt;"",
IF(S67&gt;0,0,
IF(SUM(S23,S45)&gt;0,1,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
)),"")</f>
        <v>1</v>
      </c>
      <c r="T68" s="434">
        <f ca="1">IF(EB.Anwendung&lt;&gt;"",
IF(T67&gt;0,0,
IF(SUM(T23,T45)&gt;0,1,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
)),"")</f>
        <v>1</v>
      </c>
      <c r="U68" s="434">
        <f ca="1">IF(EB.Anwendung&lt;&gt;"",
IF(U67&gt;0,0,
IF(SUM(U23,U45)&gt;0,1,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
)),"")</f>
        <v>1</v>
      </c>
      <c r="V68" s="434">
        <f ca="1">IF(EB.Anwendung&lt;&gt;"",
IF(V67&gt;0,0,
IF(SUM(V23,V45)&gt;0,1,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
)),"")</f>
        <v>1</v>
      </c>
      <c r="W68" s="434">
        <f ca="1">IF(EB.Anwendung&lt;&gt;"",
IF(W67&gt;0,0,
IF(SUM(W23,W45)&gt;0,1,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
)),"")</f>
        <v>1</v>
      </c>
      <c r="X68" s="434">
        <f ca="1">IF(EB.Anwendung&lt;&gt;"",
IF(X67&gt;0,0,
IF(SUM(X23,X45)&gt;0,1,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
)),"")</f>
        <v>1</v>
      </c>
      <c r="Y68" s="434">
        <f ca="1">IF(EB.Anwendung&lt;&gt;"",
IF(Y67&gt;0,0,
IF(SUM(Y23,Y45)&gt;0,1,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
)),"")</f>
        <v>1</v>
      </c>
      <c r="Z68" s="434">
        <f ca="1">IF(EB.Anwendung&lt;&gt;"",
IF(Z67&gt;0,0,
IF(SUM(Z23,Z45)&gt;0,1,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
)),"")</f>
        <v>1</v>
      </c>
      <c r="AA68" s="434">
        <f ca="1">IF(EB.Anwendung&lt;&gt;"",
IF(AA67&gt;0,0,
IF(SUM(AA23,AA45)&gt;0,1,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
)),"")</f>
        <v>1</v>
      </c>
      <c r="AB68" s="434">
        <f ca="1">IF(EB.Anwendung&lt;&gt;"",
IF(AB67&gt;0,0,
IF(SUM(AB23,AB45)&gt;0,1,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
)),"")</f>
        <v>1</v>
      </c>
      <c r="AC68" s="434">
        <f ca="1">IF(EB.Anwendung&lt;&gt;"",
IF(AC67&gt;0,0,
IF(SUM(AC23,AC45)&gt;0,1,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
)),"")</f>
        <v>1</v>
      </c>
      <c r="AD68" s="434">
        <f ca="1">IF(EB.Anwendung&lt;&gt;"",
IF(AD67&gt;0,0,
IF(SUM(AD23,AD45)&gt;0,1,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
)),"")</f>
        <v>1</v>
      </c>
      <c r="AE68" s="434">
        <f ca="1">IF(EB.Anwendung&lt;&gt;"",
IF(AE67&gt;0,0,
IF(SUM(AE23,AE45)&gt;0,1,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
)),"")</f>
        <v>1</v>
      </c>
      <c r="AF68" s="435">
        <f ca="1">IF(EB.Anwendung&lt;&gt;"",
IF(AF67&gt;0,0,
IF(SUM(AF23,AF45)&gt;0,1,
IF(DAY(AF$10)=1,IF(MONTH(Monat.Tag1)=1,1,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E68)
)),"")</f>
        <v>1</v>
      </c>
      <c r="AG68" s="205"/>
      <c r="AH68" s="188"/>
      <c r="AI68" s="213"/>
      <c r="AJ68" s="214"/>
      <c r="AK68" s="209"/>
      <c r="AL68" s="209"/>
      <c r="AM68" s="209"/>
      <c r="AN68" s="436">
        <f ca="1">IF(OFFSET(A68,0,DAY(EOMONTH(Monat.Tag1,0)))=0,0,1)</f>
        <v>1</v>
      </c>
      <c r="AO68" s="209"/>
      <c r="AP68" s="209"/>
      <c r="AQ68" s="119"/>
    </row>
    <row r="69" spans="1:43" s="38" customFormat="1" ht="15" hidden="1" customHeight="1" x14ac:dyDescent="0.2">
      <c r="A69" s="212" t="s">
        <v>220</v>
      </c>
      <c r="B69" s="273">
        <f t="shared" ref="B69:AF69" ca="1" si="18">IF(AND(T.50_Vetsuisse,B72=INDEX(T.JaNein.Bereich,1,1),B73&gt;0,MOD(IFERROR(MATCH(1,B13:B22,0),1),2)=0),1,
IF(AND(T.ServiceCenterIrchel,B72=INDEX(T.JaNein.Bereich,1,1),B77&gt;0),1,
IF(AND(T.50_Vetsuisse=FALSE,T.ServiceCenterIrchel=FALSE,B77&gt;0),1,0)))</f>
        <v>0</v>
      </c>
      <c r="C69" s="273">
        <f t="shared" ca="1" si="18"/>
        <v>0</v>
      </c>
      <c r="D69" s="273">
        <f t="shared" ca="1" si="18"/>
        <v>0</v>
      </c>
      <c r="E69" s="273">
        <f t="shared" ca="1" si="18"/>
        <v>0</v>
      </c>
      <c r="F69" s="273">
        <f t="shared" ca="1" si="18"/>
        <v>0</v>
      </c>
      <c r="G69" s="273">
        <f t="shared" ca="1" si="18"/>
        <v>0</v>
      </c>
      <c r="H69" s="273">
        <f t="shared" ca="1" si="18"/>
        <v>0</v>
      </c>
      <c r="I69" s="273">
        <f t="shared" ca="1" si="18"/>
        <v>0</v>
      </c>
      <c r="J69" s="273">
        <f t="shared" ca="1" si="18"/>
        <v>0</v>
      </c>
      <c r="K69" s="273">
        <f t="shared" ca="1" si="18"/>
        <v>0</v>
      </c>
      <c r="L69" s="273">
        <f t="shared" ca="1" si="18"/>
        <v>0</v>
      </c>
      <c r="M69" s="273">
        <f t="shared" ca="1" si="18"/>
        <v>0</v>
      </c>
      <c r="N69" s="273">
        <f t="shared" ca="1" si="18"/>
        <v>0</v>
      </c>
      <c r="O69" s="273">
        <f t="shared" ca="1" si="18"/>
        <v>0</v>
      </c>
      <c r="P69" s="273">
        <f t="shared" ca="1" si="18"/>
        <v>0</v>
      </c>
      <c r="Q69" s="273">
        <f t="shared" ca="1" si="18"/>
        <v>0</v>
      </c>
      <c r="R69" s="273">
        <f t="shared" ca="1" si="18"/>
        <v>0</v>
      </c>
      <c r="S69" s="273">
        <f t="shared" ca="1" si="18"/>
        <v>0</v>
      </c>
      <c r="T69" s="273">
        <f t="shared" ca="1" si="18"/>
        <v>0</v>
      </c>
      <c r="U69" s="273">
        <f t="shared" ca="1" si="18"/>
        <v>0</v>
      </c>
      <c r="V69" s="273">
        <f t="shared" ca="1" si="18"/>
        <v>0</v>
      </c>
      <c r="W69" s="273">
        <f t="shared" ca="1" si="18"/>
        <v>0</v>
      </c>
      <c r="X69" s="273">
        <f t="shared" ca="1" si="18"/>
        <v>0</v>
      </c>
      <c r="Y69" s="273">
        <f t="shared" ca="1" si="18"/>
        <v>0</v>
      </c>
      <c r="Z69" s="273">
        <f t="shared" ca="1" si="18"/>
        <v>0</v>
      </c>
      <c r="AA69" s="273">
        <f t="shared" ca="1" si="18"/>
        <v>0</v>
      </c>
      <c r="AB69" s="273">
        <f t="shared" ca="1" si="18"/>
        <v>0</v>
      </c>
      <c r="AC69" s="273">
        <f t="shared" ca="1" si="18"/>
        <v>0</v>
      </c>
      <c r="AD69" s="273">
        <f t="shared" ca="1" si="18"/>
        <v>0</v>
      </c>
      <c r="AE69" s="273">
        <f t="shared" ca="1" si="18"/>
        <v>0</v>
      </c>
      <c r="AF69" s="273">
        <f t="shared" ca="1" si="18"/>
        <v>0</v>
      </c>
      <c r="AG69" s="205" t="str">
        <f>A69</f>
        <v>Counter night shift</v>
      </c>
      <c r="AH69" s="274"/>
      <c r="AI69" s="275">
        <f ca="1">SUM(B69:AF69)</f>
        <v>0</v>
      </c>
      <c r="AJ69" s="261"/>
      <c r="AK69" s="224"/>
      <c r="AL69" s="276">
        <f ca="1">IF(EB.Anwendung&lt;&gt;"",IF(MONTH(Monat.Tag1)=1,0,IF(MONTH(Monat.Tag1)=2,January!Monat.ZählerNDUe,IF(MONTH(Monat.Tag1)=3,February!Monat.ZählerNDUe,IF(MONTH(Monat.Tag1)=4,March!Monat.ZählerNDUe,IF(MONTH(Monat.Tag1)=5,April!Monat.ZählerNDUe,IF(MONTH(Monat.Tag1)=6,May!Monat.ZählerNDUe,IF(MONTH(Monat.Tag1)=7,June!Monat.ZählerNDUe,IF(MONTH(Monat.Tag1)=8,July!Monat.ZählerNDUe,IF(MONTH(Monat.Tag1)=9,August!Monat.ZählerNDUe,IF(MONTH(Monat.Tag1)=10,September!Monat.ZählerNDUe,IF(MONTH(Monat.Tag1)=11,October!Monat.ZählerNDUe,IF(MONTH(Monat.Tag1)=12,November!Monat.ZählerNDUe,"")))))))))))),"")</f>
        <v>0</v>
      </c>
      <c r="AM69" s="209"/>
      <c r="AN69" s="277">
        <f ca="1">AL69+AI69</f>
        <v>0</v>
      </c>
      <c r="AO69" s="208"/>
      <c r="AP69" s="208"/>
      <c r="AQ69" s="119"/>
    </row>
    <row r="70" spans="1:43" s="38" customFormat="1" ht="15" hidden="1" customHeight="1" x14ac:dyDescent="0.2">
      <c r="A70" s="212" t="s">
        <v>221</v>
      </c>
      <c r="B70" s="273">
        <f t="shared" ref="B70:AF70" ca="1" si="19">IF(DAY(B$10)=1,$AL$69,A70)+B69</f>
        <v>0</v>
      </c>
      <c r="C70" s="273">
        <f t="shared" ca="1" si="19"/>
        <v>0</v>
      </c>
      <c r="D70" s="273">
        <f t="shared" ca="1" si="19"/>
        <v>0</v>
      </c>
      <c r="E70" s="273">
        <f t="shared" ca="1" si="19"/>
        <v>0</v>
      </c>
      <c r="F70" s="273">
        <f t="shared" ca="1" si="19"/>
        <v>0</v>
      </c>
      <c r="G70" s="273">
        <f t="shared" ca="1" si="19"/>
        <v>0</v>
      </c>
      <c r="H70" s="273">
        <f t="shared" ca="1" si="19"/>
        <v>0</v>
      </c>
      <c r="I70" s="273">
        <f t="shared" ca="1" si="19"/>
        <v>0</v>
      </c>
      <c r="J70" s="273">
        <f t="shared" ca="1" si="19"/>
        <v>0</v>
      </c>
      <c r="K70" s="273">
        <f t="shared" ca="1" si="19"/>
        <v>0</v>
      </c>
      <c r="L70" s="273">
        <f t="shared" ca="1" si="19"/>
        <v>0</v>
      </c>
      <c r="M70" s="273">
        <f t="shared" ca="1" si="19"/>
        <v>0</v>
      </c>
      <c r="N70" s="273">
        <f t="shared" ca="1" si="19"/>
        <v>0</v>
      </c>
      <c r="O70" s="273">
        <f t="shared" ca="1" si="19"/>
        <v>0</v>
      </c>
      <c r="P70" s="273">
        <f t="shared" ca="1" si="19"/>
        <v>0</v>
      </c>
      <c r="Q70" s="273">
        <f t="shared" ca="1" si="19"/>
        <v>0</v>
      </c>
      <c r="R70" s="273">
        <f t="shared" ca="1" si="19"/>
        <v>0</v>
      </c>
      <c r="S70" s="273">
        <f t="shared" ca="1" si="19"/>
        <v>0</v>
      </c>
      <c r="T70" s="273">
        <f t="shared" ca="1" si="19"/>
        <v>0</v>
      </c>
      <c r="U70" s="273">
        <f t="shared" ca="1" si="19"/>
        <v>0</v>
      </c>
      <c r="V70" s="273">
        <f t="shared" ca="1" si="19"/>
        <v>0</v>
      </c>
      <c r="W70" s="273">
        <f t="shared" ca="1" si="19"/>
        <v>0</v>
      </c>
      <c r="X70" s="273">
        <f t="shared" ca="1" si="19"/>
        <v>0</v>
      </c>
      <c r="Y70" s="273">
        <f t="shared" ca="1" si="19"/>
        <v>0</v>
      </c>
      <c r="Z70" s="273">
        <f t="shared" ca="1" si="19"/>
        <v>0</v>
      </c>
      <c r="AA70" s="273">
        <f t="shared" ca="1" si="19"/>
        <v>0</v>
      </c>
      <c r="AB70" s="273">
        <f t="shared" ca="1" si="19"/>
        <v>0</v>
      </c>
      <c r="AC70" s="273">
        <f t="shared" ca="1" si="19"/>
        <v>0</v>
      </c>
      <c r="AD70" s="273">
        <f t="shared" ca="1" si="19"/>
        <v>0</v>
      </c>
      <c r="AE70" s="273">
        <f t="shared" ca="1" si="19"/>
        <v>0</v>
      </c>
      <c r="AF70" s="273">
        <f t="shared" ca="1" si="19"/>
        <v>0</v>
      </c>
      <c r="AG70" s="205" t="str">
        <f t="shared" ref="AG70:AG82" si="20">A70</f>
        <v>Balance counter night shift</v>
      </c>
      <c r="AH70" s="228"/>
      <c r="AI70" s="224"/>
      <c r="AJ70" s="278"/>
      <c r="AK70" s="262"/>
      <c r="AL70" s="262"/>
      <c r="AM70" s="209"/>
      <c r="AN70" s="279"/>
      <c r="AO70" s="208"/>
      <c r="AP70" s="208"/>
      <c r="AQ70" s="119"/>
    </row>
    <row r="71" spans="1:43" s="38" customFormat="1" ht="15" hidden="1" customHeight="1" outlineLevel="1" x14ac:dyDescent="0.2">
      <c r="A71" s="212" t="s">
        <v>222</v>
      </c>
      <c r="B71" s="40"/>
      <c r="C71" s="40"/>
      <c r="D71" s="40"/>
      <c r="E71" s="27"/>
      <c r="F71" s="40"/>
      <c r="G71" s="40"/>
      <c r="H71" s="40"/>
      <c r="I71" s="40"/>
      <c r="J71" s="27"/>
      <c r="K71" s="40"/>
      <c r="L71" s="27"/>
      <c r="M71" s="40"/>
      <c r="N71" s="40"/>
      <c r="O71" s="40"/>
      <c r="P71" s="40"/>
      <c r="Q71" s="27"/>
      <c r="R71" s="40"/>
      <c r="S71" s="27"/>
      <c r="T71" s="27"/>
      <c r="U71" s="40"/>
      <c r="V71" s="40"/>
      <c r="W71" s="40"/>
      <c r="X71" s="27"/>
      <c r="Y71" s="40"/>
      <c r="Z71" s="39"/>
      <c r="AA71" s="40"/>
      <c r="AB71" s="40"/>
      <c r="AC71" s="40"/>
      <c r="AD71" s="40"/>
      <c r="AE71" s="27"/>
      <c r="AF71" s="40"/>
      <c r="AG71" s="205" t="str">
        <f t="shared" si="20"/>
        <v>Compensation TS night shift</v>
      </c>
      <c r="AH71" s="218"/>
      <c r="AI71" s="238">
        <f t="shared" ref="AI71" si="21">SUM(B71:AF71)</f>
        <v>0</v>
      </c>
      <c r="AJ71" s="261"/>
      <c r="AK71" s="262"/>
      <c r="AL71" s="245">
        <f ca="1">IF(EB.Anwendung&lt;&gt;"",IF(MONTH(Monat.Tag1)=1,0,IF(MONTH(Monat.Tag1)=2,January!Monat.KompZZSNDUeVM,IF(MONTH(Monat.Tag1)=3,February!Monat.KompZZSNDUeVM,IF(MONTH(Monat.Tag1)=4,March!Monat.KompZZSNDUeVM,IF(MONTH(Monat.Tag1)=5,April!Monat.KompZZSNDUeVM,IF(MONTH(Monat.Tag1)=6,May!Monat.KompZZSNDUeVM,IF(MONTH(Monat.Tag1)=7,June!Monat.KompZZSNDUeVM,IF(MONTH(Monat.Tag1)=8,July!Monat.KompZZSNDUeVM,IF(MONTH(Monat.Tag1)=9,August!Monat.KompZZSNDUeVM,IF(MONTH(Monat.Tag1)=10,September!Monat.KompZZSNDUeVM,IF(MONTH(Monat.Tag1)=11,October!Monat.KompZZSNDUeVM,IF(MONTH(Monat.Tag1)=12,November!Monat.KompZZSNDUeVM,"")))))))))))),"")</f>
        <v>0</v>
      </c>
      <c r="AM71" s="209"/>
      <c r="AN71" s="246">
        <f ca="1">AI71+AL71</f>
        <v>0</v>
      </c>
      <c r="AO71" s="246">
        <f ca="1">SUM(OFFSET(Jahr.KompZZSND,-12,0,MONTH(Monat.Tag1),1))</f>
        <v>0</v>
      </c>
      <c r="AP71" s="246">
        <f ca="1">Jahr.KompZZSND</f>
        <v>0</v>
      </c>
      <c r="AQ71" s="119"/>
    </row>
    <row r="72" spans="1:43" s="38" customFormat="1" ht="15" hidden="1" customHeight="1" outlineLevel="1" x14ac:dyDescent="0.2">
      <c r="A72" s="212" t="s">
        <v>223</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205" t="str">
        <f t="shared" si="20"/>
        <v>Start pl. night shift Yes/No</v>
      </c>
      <c r="AH72" s="218"/>
      <c r="AI72" s="224"/>
      <c r="AJ72" s="229">
        <f ca="1">IFERROR(SUMPRODUCT((B72:AF72=INDEX(T.JaNein.Bereich,1))*(B72:AF72&lt;&gt;"")),0)</f>
        <v>0</v>
      </c>
      <c r="AK72" s="262"/>
      <c r="AL72" s="229">
        <f ca="1">AL69</f>
        <v>0</v>
      </c>
      <c r="AM72" s="209"/>
      <c r="AN72" s="277">
        <f ca="1">AN69</f>
        <v>0</v>
      </c>
      <c r="AO72" s="209"/>
      <c r="AP72" s="209"/>
      <c r="AQ72" s="119"/>
    </row>
    <row r="73" spans="1:43" s="38" customFormat="1" ht="15" customHeight="1" outlineLevel="1" x14ac:dyDescent="0.2">
      <c r="A73" s="212" t="s">
        <v>88</v>
      </c>
      <c r="B73" s="280">
        <f t="shared" ref="B73:AF73" ca="1" si="22">IF(B$12=0,0,IF(OR(T.50_Vetsuisse,T.ServiceCenterIrchel),ROUND((B14-B13+MAX(0,T.Nachtab-MAX(T.Nachtbis,B14))-MAX(0,T.Nachtab-MAX(B13,T.Nachtbis))+(B13&gt;B14)*(1+T.Nachtbis-T.Nachtab)+B16-B15+MAX(0,T.Nachtab-MAX(T.Nachtbis,B16))-MAX(0,T.Nachtab-MAX(B15,T.Nachtbis))+(B15&gt;B16)*(1+T.Nachtbis-T.Nachtab)+B18-B17+MAX(0,T.Nachtab-MAX(T.Nachtbis,B18))-MAX(0,T.Nachtab-MAX(B17,T.Nachtbis))+(B17&gt;B18)*(1+T.Nachtbis-T.Nachtab)+B20-B19+MAX(0,T.Nachtab-MAX(T.Nachtbis,B20))-MAX(0,T.Nachtab-MAX(B19,T.Nachtbis))+(B19&gt;B20)*(1+T.Nachtbis-T.Nachtab)+B22-B21+MAX(0,T.Nachtab-MAX(T.Nachtbis,B22))-MAX(0,T.Nachtab-MAX(B21,T.Nachtbis))+(B21&gt;B22)*(1+T.Nachtbis-T.Nachtab))*1440,0)/1440,
IF(AND(WEEKDAY(B$10,2)&lt;6,B$11&lt;&gt;0),ROUND((B36-B35+MAX(0,T.Nachtab-MAX(T.Nachtbis,B36))-MAX(0,T.Nachtab-MAX(B35,T.Nachtbis))+(B35&gt;B36)*(1+T.Nachtbis-T.Nachtab)+B38-B37+MAX(0,T.Nachtab-MAX(T.Nachtbis,B38))-MAX(0,T.Nachtab-MAX(B37,T.Nachtbis))+(B37&gt;B38)*(1+T.Nachtbis-T.Nachtab)+B40-B39+MAX(0,T.Nachtab-MAX(T.Nachtbis,B40))-MAX(0,T.Nachtab-MAX(B39,T.Nachtbis))+(B39&gt;B40)*(1+T.Nachtbis-T.Nachtab)+B42-B41+MAX(0,T.Nachtab-MAX(T.Nachtbis,B42))-MAX(0,T.Nachtab-MAX(B41,T.Nachtbis))+(B41&gt;B42)*(1+T.Nachtbis-T.Nachtab)+B44-B43+MAX(0,T.Nachtab-MAX(T.Nachtbis,B44))-MAX(0,T.Nachtab-MAX(B43,T.Nachtbis))+(B43&gt;B44)*(1+T.Nachtbis-T.Nachtab))*1440,0)/1440,0)))</f>
        <v>0</v>
      </c>
      <c r="C73" s="280">
        <f t="shared" ca="1" si="22"/>
        <v>0</v>
      </c>
      <c r="D73" s="280">
        <f t="shared" ca="1" si="22"/>
        <v>0</v>
      </c>
      <c r="E73" s="280">
        <f t="shared" ca="1" si="22"/>
        <v>0</v>
      </c>
      <c r="F73" s="280">
        <f t="shared" ca="1" si="22"/>
        <v>0</v>
      </c>
      <c r="G73" s="280">
        <f t="shared" ca="1" si="22"/>
        <v>0</v>
      </c>
      <c r="H73" s="280">
        <f t="shared" ca="1" si="22"/>
        <v>0</v>
      </c>
      <c r="I73" s="280">
        <f t="shared" ca="1" si="22"/>
        <v>0</v>
      </c>
      <c r="J73" s="280">
        <f t="shared" ca="1" si="22"/>
        <v>0</v>
      </c>
      <c r="K73" s="280">
        <f t="shared" ca="1" si="22"/>
        <v>0</v>
      </c>
      <c r="L73" s="280">
        <f t="shared" ca="1" si="22"/>
        <v>0</v>
      </c>
      <c r="M73" s="280">
        <f t="shared" ca="1" si="22"/>
        <v>0</v>
      </c>
      <c r="N73" s="280">
        <f t="shared" ca="1" si="22"/>
        <v>0</v>
      </c>
      <c r="O73" s="280">
        <f t="shared" ca="1" si="22"/>
        <v>0</v>
      </c>
      <c r="P73" s="280">
        <f t="shared" ca="1" si="22"/>
        <v>0</v>
      </c>
      <c r="Q73" s="280">
        <f t="shared" ca="1" si="22"/>
        <v>0</v>
      </c>
      <c r="R73" s="280">
        <f t="shared" ca="1" si="22"/>
        <v>0</v>
      </c>
      <c r="S73" s="280">
        <f t="shared" ca="1" si="22"/>
        <v>0</v>
      </c>
      <c r="T73" s="280">
        <f t="shared" ca="1" si="22"/>
        <v>0</v>
      </c>
      <c r="U73" s="280">
        <f t="shared" ca="1" si="22"/>
        <v>0</v>
      </c>
      <c r="V73" s="280">
        <f t="shared" ca="1" si="22"/>
        <v>0</v>
      </c>
      <c r="W73" s="280">
        <f t="shared" ca="1" si="22"/>
        <v>0</v>
      </c>
      <c r="X73" s="280">
        <f t="shared" ca="1" si="22"/>
        <v>0</v>
      </c>
      <c r="Y73" s="280">
        <f t="shared" ca="1" si="22"/>
        <v>0</v>
      </c>
      <c r="Z73" s="280">
        <f t="shared" ca="1" si="22"/>
        <v>0</v>
      </c>
      <c r="AA73" s="280">
        <f t="shared" ca="1" si="22"/>
        <v>0</v>
      </c>
      <c r="AB73" s="280">
        <f t="shared" ca="1" si="22"/>
        <v>0</v>
      </c>
      <c r="AC73" s="280">
        <f t="shared" ca="1" si="22"/>
        <v>0</v>
      </c>
      <c r="AD73" s="280">
        <f t="shared" ca="1" si="22"/>
        <v>0</v>
      </c>
      <c r="AE73" s="280">
        <f t="shared" ca="1" si="22"/>
        <v>0</v>
      </c>
      <c r="AF73" s="280">
        <f t="shared" ca="1" si="22"/>
        <v>0</v>
      </c>
      <c r="AG73" s="205" t="str">
        <f t="shared" si="20"/>
        <v>Night shift</v>
      </c>
      <c r="AH73" s="228"/>
      <c r="AI73" s="238">
        <f ca="1">SUM(B73:AF73)</f>
        <v>0</v>
      </c>
      <c r="AJ73" s="229">
        <f ca="1">IF(OR(T.50_Vetsuisse,T.ServiceCenterIrchel),AI69,
IFERROR(SUMPRODUCT((B77:AF77&gt;0)*(B77:AF77&lt;&gt;"")),0))</f>
        <v>0</v>
      </c>
      <c r="AK73" s="224"/>
      <c r="AL73" s="245">
        <f ca="1">IF(EB.Anwendung&lt;&gt;"",IF(MONTH(Monat.Tag1)=1,0,IF(MONTH(Monat.Tag1)=2,January!Monat.NDUeVM,IF(MONTH(Monat.Tag1)=3,February!Monat.NDUeVM,IF(MONTH(Monat.Tag1)=4,March!Monat.NDUeVM,IF(MONTH(Monat.Tag1)=5,April!Monat.NDUeVM,IF(MONTH(Monat.Tag1)=6,May!Monat.NDUeVM,IF(MONTH(Monat.Tag1)=7,June!Monat.NDUeVM,IF(MONTH(Monat.Tag1)=8,July!Monat.NDUeVM,IF(MONTH(Monat.Tag1)=9,August!Monat.NDUeVM,IF(MONTH(Monat.Tag1)=10,September!Monat.NDUeVM,IF(MONTH(Monat.Tag1)=11,October!Monat.NDUeVM,IF(MONTH(Monat.Tag1)=12,November!Monat.NDUeVM,"")))))))))))),"")</f>
        <v>0</v>
      </c>
      <c r="AM73" s="209"/>
      <c r="AN73" s="246">
        <f ca="1">AI73+AL73</f>
        <v>0</v>
      </c>
      <c r="AO73" s="208"/>
      <c r="AP73" s="208"/>
      <c r="AQ73" s="119"/>
    </row>
    <row r="74" spans="1:43" s="38" customFormat="1" ht="3.75" hidden="1" customHeight="1" x14ac:dyDescent="0.2">
      <c r="A74" s="220"/>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213"/>
      <c r="AG74" s="205"/>
      <c r="AH74" s="188"/>
      <c r="AI74" s="213"/>
      <c r="AJ74" s="214"/>
      <c r="AK74" s="209"/>
      <c r="AL74" s="209"/>
      <c r="AM74" s="209"/>
      <c r="AN74" s="208"/>
      <c r="AO74" s="209"/>
      <c r="AP74" s="209"/>
      <c r="AQ74" s="119"/>
    </row>
    <row r="75" spans="1:43" s="38" customFormat="1" ht="16.5" hidden="1" customHeight="1" outlineLevel="1" x14ac:dyDescent="0.2">
      <c r="A75" s="215" t="s">
        <v>252</v>
      </c>
      <c r="B75" s="216">
        <f t="shared" ref="B75:AF75" ca="1" si="23">IF(B73&gt;0,ROUND((B73-
IF(B13&lt;T.Nachtbis,MIN(T.Nachtbis-B13,B14-B13)+IF(B15&lt;T.Nachtbis,MIN(T.Nachtbis-B15,B16-B15)+IF(B17&lt;T.Nachtbis,MIN(T.Nachtbis-B17,B18-B17)+IF(B19&lt;T.Nachtbis,MIN(T.Nachtbis-B19,B20-B19)+IF(B21&lt;T.Nachtbis,MIN(T.Nachtbis-B21,B22-B21),0),0),0),0),0))*1440,0)/1440,0)</f>
        <v>0</v>
      </c>
      <c r="C75" s="216">
        <f t="shared" ca="1" si="23"/>
        <v>0</v>
      </c>
      <c r="D75" s="216">
        <f t="shared" ca="1" si="23"/>
        <v>0</v>
      </c>
      <c r="E75" s="216">
        <f t="shared" ca="1" si="23"/>
        <v>0</v>
      </c>
      <c r="F75" s="216">
        <f t="shared" ca="1" si="23"/>
        <v>0</v>
      </c>
      <c r="G75" s="216">
        <f t="shared" ca="1" si="23"/>
        <v>0</v>
      </c>
      <c r="H75" s="216">
        <f t="shared" ca="1" si="23"/>
        <v>0</v>
      </c>
      <c r="I75" s="216">
        <f t="shared" ca="1" si="23"/>
        <v>0</v>
      </c>
      <c r="J75" s="216">
        <f t="shared" ca="1" si="23"/>
        <v>0</v>
      </c>
      <c r="K75" s="216">
        <f t="shared" ca="1" si="23"/>
        <v>0</v>
      </c>
      <c r="L75" s="216">
        <f t="shared" ca="1" si="23"/>
        <v>0</v>
      </c>
      <c r="M75" s="216">
        <f t="shared" ca="1" si="23"/>
        <v>0</v>
      </c>
      <c r="N75" s="216">
        <f t="shared" ca="1" si="23"/>
        <v>0</v>
      </c>
      <c r="O75" s="216">
        <f t="shared" ca="1" si="23"/>
        <v>0</v>
      </c>
      <c r="P75" s="216">
        <f t="shared" ca="1" si="23"/>
        <v>0</v>
      </c>
      <c r="Q75" s="216">
        <f t="shared" ca="1" si="23"/>
        <v>0</v>
      </c>
      <c r="R75" s="216">
        <f t="shared" ca="1" si="23"/>
        <v>0</v>
      </c>
      <c r="S75" s="216">
        <f t="shared" ca="1" si="23"/>
        <v>0</v>
      </c>
      <c r="T75" s="216">
        <f t="shared" ca="1" si="23"/>
        <v>0</v>
      </c>
      <c r="U75" s="216">
        <f t="shared" ca="1" si="23"/>
        <v>0</v>
      </c>
      <c r="V75" s="216">
        <f t="shared" ca="1" si="23"/>
        <v>0</v>
      </c>
      <c r="W75" s="216">
        <f t="shared" ca="1" si="23"/>
        <v>0</v>
      </c>
      <c r="X75" s="216">
        <f t="shared" ca="1" si="23"/>
        <v>0</v>
      </c>
      <c r="Y75" s="216">
        <f t="shared" ca="1" si="23"/>
        <v>0</v>
      </c>
      <c r="Z75" s="216">
        <f t="shared" ca="1" si="23"/>
        <v>0</v>
      </c>
      <c r="AA75" s="216">
        <f t="shared" ca="1" si="23"/>
        <v>0</v>
      </c>
      <c r="AB75" s="216">
        <f t="shared" ca="1" si="23"/>
        <v>0</v>
      </c>
      <c r="AC75" s="216">
        <f t="shared" ca="1" si="23"/>
        <v>0</v>
      </c>
      <c r="AD75" s="216">
        <f t="shared" ca="1" si="23"/>
        <v>0</v>
      </c>
      <c r="AE75" s="216">
        <f t="shared" ca="1" si="23"/>
        <v>0</v>
      </c>
      <c r="AF75" s="216">
        <f t="shared" ca="1" si="23"/>
        <v>0</v>
      </c>
      <c r="AG75" s="217" t="str">
        <f t="shared" ref="AG75:AG77" si="24">A75</f>
        <v>Total NS hours today</v>
      </c>
      <c r="AH75" s="188"/>
      <c r="AI75" s="213"/>
      <c r="AJ75" s="214"/>
      <c r="AK75" s="209"/>
      <c r="AL75" s="209"/>
      <c r="AM75" s="209"/>
      <c r="AN75" s="208"/>
      <c r="AO75" s="209"/>
      <c r="AP75" s="209"/>
      <c r="AQ75" s="119"/>
    </row>
    <row r="76" spans="1:43" s="38" customFormat="1" ht="16.5" hidden="1" customHeight="1" outlineLevel="1" x14ac:dyDescent="0.2">
      <c r="A76" s="215" t="s">
        <v>253</v>
      </c>
      <c r="B76" s="225">
        <f t="shared" ref="B76:AF76" ca="1" si="25">B73-B75</f>
        <v>0</v>
      </c>
      <c r="C76" s="225">
        <f t="shared" ca="1" si="25"/>
        <v>0</v>
      </c>
      <c r="D76" s="225">
        <f t="shared" ca="1" si="25"/>
        <v>0</v>
      </c>
      <c r="E76" s="225">
        <f t="shared" ca="1" si="25"/>
        <v>0</v>
      </c>
      <c r="F76" s="225">
        <f t="shared" ca="1" si="25"/>
        <v>0</v>
      </c>
      <c r="G76" s="225">
        <f t="shared" ca="1" si="25"/>
        <v>0</v>
      </c>
      <c r="H76" s="225">
        <f t="shared" ca="1" si="25"/>
        <v>0</v>
      </c>
      <c r="I76" s="225">
        <f t="shared" ca="1" si="25"/>
        <v>0</v>
      </c>
      <c r="J76" s="225">
        <f t="shared" ca="1" si="25"/>
        <v>0</v>
      </c>
      <c r="K76" s="225">
        <f t="shared" ca="1" si="25"/>
        <v>0</v>
      </c>
      <c r="L76" s="225">
        <f t="shared" ca="1" si="25"/>
        <v>0</v>
      </c>
      <c r="M76" s="225">
        <f t="shared" ca="1" si="25"/>
        <v>0</v>
      </c>
      <c r="N76" s="225">
        <f t="shared" ca="1" si="25"/>
        <v>0</v>
      </c>
      <c r="O76" s="225">
        <f t="shared" ca="1" si="25"/>
        <v>0</v>
      </c>
      <c r="P76" s="225">
        <f t="shared" ca="1" si="25"/>
        <v>0</v>
      </c>
      <c r="Q76" s="225">
        <f t="shared" ca="1" si="25"/>
        <v>0</v>
      </c>
      <c r="R76" s="225">
        <f t="shared" ca="1" si="25"/>
        <v>0</v>
      </c>
      <c r="S76" s="225">
        <f t="shared" ca="1" si="25"/>
        <v>0</v>
      </c>
      <c r="T76" s="225">
        <f t="shared" ca="1" si="25"/>
        <v>0</v>
      </c>
      <c r="U76" s="225">
        <f t="shared" ca="1" si="25"/>
        <v>0</v>
      </c>
      <c r="V76" s="225">
        <f t="shared" ca="1" si="25"/>
        <v>0</v>
      </c>
      <c r="W76" s="225">
        <f t="shared" ca="1" si="25"/>
        <v>0</v>
      </c>
      <c r="X76" s="225">
        <f t="shared" ca="1" si="25"/>
        <v>0</v>
      </c>
      <c r="Y76" s="225">
        <f t="shared" ca="1" si="25"/>
        <v>0</v>
      </c>
      <c r="Z76" s="225">
        <f t="shared" ca="1" si="25"/>
        <v>0</v>
      </c>
      <c r="AA76" s="225">
        <f t="shared" ca="1" si="25"/>
        <v>0</v>
      </c>
      <c r="AB76" s="225">
        <f t="shared" ca="1" si="25"/>
        <v>0</v>
      </c>
      <c r="AC76" s="225">
        <f t="shared" ca="1" si="25"/>
        <v>0</v>
      </c>
      <c r="AD76" s="225">
        <f t="shared" ca="1" si="25"/>
        <v>0</v>
      </c>
      <c r="AE76" s="225">
        <f t="shared" ca="1" si="25"/>
        <v>0</v>
      </c>
      <c r="AF76" s="225">
        <f t="shared" ca="1" si="25"/>
        <v>0</v>
      </c>
      <c r="AG76" s="217" t="str">
        <f t="shared" si="24"/>
        <v>Total NS hours yesterday</v>
      </c>
      <c r="AH76" s="188"/>
      <c r="AI76" s="213"/>
      <c r="AJ76" s="214"/>
      <c r="AK76" s="209"/>
      <c r="AL76" s="209"/>
      <c r="AM76" s="230">
        <f ca="1">IF(EB.Anwendung&lt;&gt;"",IF(MONTH(Monat.Tag1)=12,0,IF(MONTH(Monat.Tag1)=1,February!Monat.NDgesternTag1,IF(MONTH(Monat.Tag1)=2,March!Monat.NDgesternTag1,IF(MONTH(Monat.Tag1)=3,April!Monat.NDgesternTag1,IF(MONTH(Monat.Tag1)=4,May!Monat.NDgesternTag1,IF(MONTH(Monat.Tag1)=5,June!Monat.NDgesternTag1,IF(MONTH(Monat.Tag1)=6,July!Monat.NDgesternTag1,IF(MONTH(Monat.Tag1)=7,August!Monat.NDgesternTag1,IF(MONTH(Monat.Tag1)=8,September!Monat.NDgesternTag1,IF(MONTH(Monat.Tag1)=9,October!Monat.NDgesternTag1,IF(MONTH(Monat.Tag1)=10,November!Monat.NDgesternTag1,IF(MONTH(Monat.Tag1)=11,December!Monat.NDgesternTag1,"")))))))))))),"")</f>
        <v>0</v>
      </c>
      <c r="AN76" s="208"/>
      <c r="AO76" s="209"/>
      <c r="AP76" s="209"/>
      <c r="AQ76" s="119"/>
    </row>
    <row r="77" spans="1:43" s="38" customFormat="1" ht="16.5" hidden="1" customHeight="1" outlineLevel="1" x14ac:dyDescent="0.2">
      <c r="A77" s="215" t="s">
        <v>254</v>
      </c>
      <c r="B77" s="216">
        <f t="shared" ref="B77:AF77" ca="1" si="26">B75+IF(B$10=EOMONTH(B$10,0),$AM76,C76)</f>
        <v>0</v>
      </c>
      <c r="C77" s="216">
        <f t="shared" ca="1" si="26"/>
        <v>0</v>
      </c>
      <c r="D77" s="216">
        <f t="shared" ca="1" si="26"/>
        <v>0</v>
      </c>
      <c r="E77" s="216">
        <f t="shared" ca="1" si="26"/>
        <v>0</v>
      </c>
      <c r="F77" s="216">
        <f t="shared" ca="1" si="26"/>
        <v>0</v>
      </c>
      <c r="G77" s="216">
        <f t="shared" ca="1" si="26"/>
        <v>0</v>
      </c>
      <c r="H77" s="216">
        <f t="shared" ca="1" si="26"/>
        <v>0</v>
      </c>
      <c r="I77" s="216">
        <f t="shared" ca="1" si="26"/>
        <v>0</v>
      </c>
      <c r="J77" s="216">
        <f t="shared" ca="1" si="26"/>
        <v>0</v>
      </c>
      <c r="K77" s="216">
        <f t="shared" ca="1" si="26"/>
        <v>0</v>
      </c>
      <c r="L77" s="216">
        <f t="shared" ca="1" si="26"/>
        <v>0</v>
      </c>
      <c r="M77" s="216">
        <f t="shared" ca="1" si="26"/>
        <v>0</v>
      </c>
      <c r="N77" s="216">
        <f t="shared" ca="1" si="26"/>
        <v>0</v>
      </c>
      <c r="O77" s="216">
        <f t="shared" ca="1" si="26"/>
        <v>0</v>
      </c>
      <c r="P77" s="216">
        <f t="shared" ca="1" si="26"/>
        <v>0</v>
      </c>
      <c r="Q77" s="216">
        <f t="shared" ca="1" si="26"/>
        <v>0</v>
      </c>
      <c r="R77" s="216">
        <f t="shared" ca="1" si="26"/>
        <v>0</v>
      </c>
      <c r="S77" s="216">
        <f t="shared" ca="1" si="26"/>
        <v>0</v>
      </c>
      <c r="T77" s="216">
        <f t="shared" ca="1" si="26"/>
        <v>0</v>
      </c>
      <c r="U77" s="216">
        <f t="shared" ca="1" si="26"/>
        <v>0</v>
      </c>
      <c r="V77" s="216">
        <f t="shared" ca="1" si="26"/>
        <v>0</v>
      </c>
      <c r="W77" s="216">
        <f t="shared" ca="1" si="26"/>
        <v>0</v>
      </c>
      <c r="X77" s="216">
        <f t="shared" ca="1" si="26"/>
        <v>0</v>
      </c>
      <c r="Y77" s="216">
        <f t="shared" ca="1" si="26"/>
        <v>0</v>
      </c>
      <c r="Z77" s="216">
        <f t="shared" ca="1" si="26"/>
        <v>0</v>
      </c>
      <c r="AA77" s="216">
        <f t="shared" ca="1" si="26"/>
        <v>0</v>
      </c>
      <c r="AB77" s="216">
        <f t="shared" ca="1" si="26"/>
        <v>0</v>
      </c>
      <c r="AC77" s="216">
        <f t="shared" ca="1" si="26"/>
        <v>0</v>
      </c>
      <c r="AD77" s="216">
        <f t="shared" ca="1" si="26"/>
        <v>0</v>
      </c>
      <c r="AE77" s="216">
        <f t="shared" ca="1" si="26"/>
        <v>0</v>
      </c>
      <c r="AF77" s="216">
        <f t="shared" ca="1" si="26"/>
        <v>0</v>
      </c>
      <c r="AG77" s="217" t="str">
        <f t="shared" si="24"/>
        <v>Total NS hours</v>
      </c>
      <c r="AH77" s="218"/>
      <c r="AI77" s="219">
        <f ca="1">SUM(B77:AF77)</f>
        <v>0</v>
      </c>
      <c r="AJ77" s="214"/>
      <c r="AK77" s="209"/>
      <c r="AL77" s="209"/>
      <c r="AM77" s="209"/>
      <c r="AN77" s="208"/>
      <c r="AO77" s="209"/>
      <c r="AP77" s="209"/>
      <c r="AQ77" s="119"/>
    </row>
    <row r="78" spans="1:43" s="38" customFormat="1" ht="3.75" hidden="1" customHeight="1" collapsed="1" x14ac:dyDescent="0.2">
      <c r="A78" s="220"/>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2"/>
      <c r="AG78" s="205"/>
      <c r="AH78" s="233"/>
      <c r="AI78" s="222"/>
      <c r="AJ78" s="214"/>
      <c r="AK78" s="209"/>
      <c r="AL78" s="209"/>
      <c r="AM78" s="209"/>
      <c r="AN78" s="208"/>
      <c r="AO78" s="209"/>
      <c r="AP78" s="209"/>
      <c r="AQ78" s="119"/>
    </row>
    <row r="79" spans="1:43" s="38" customFormat="1" ht="15" customHeight="1" outlineLevel="1" x14ac:dyDescent="0.2">
      <c r="A79" s="212" t="s">
        <v>200</v>
      </c>
      <c r="B79" s="280">
        <f t="shared" ref="B79:AF79" ca="1" si="27">IF(AND(T.50_Vetsuisse,B70&gt;24),ROUND(B73*T.50_VetsuisseZZSND*1440,0)/1440,
IF(AND(T.ServiceCenterIrchel,B69&gt;0,B77&gt;=ROUND(1/24*8*1440,0)/1440),ROUND(B77*T.ServiceCenterIrchelZZSND*1440,0)/1440,))</f>
        <v>0</v>
      </c>
      <c r="C79" s="280">
        <f t="shared" ca="1" si="27"/>
        <v>0</v>
      </c>
      <c r="D79" s="280">
        <f t="shared" ca="1" si="27"/>
        <v>0</v>
      </c>
      <c r="E79" s="280">
        <f t="shared" ca="1" si="27"/>
        <v>0</v>
      </c>
      <c r="F79" s="280">
        <f t="shared" ca="1" si="27"/>
        <v>0</v>
      </c>
      <c r="G79" s="280">
        <f t="shared" ca="1" si="27"/>
        <v>0</v>
      </c>
      <c r="H79" s="280">
        <f t="shared" ca="1" si="27"/>
        <v>0</v>
      </c>
      <c r="I79" s="280">
        <f t="shared" ca="1" si="27"/>
        <v>0</v>
      </c>
      <c r="J79" s="280">
        <f t="shared" ca="1" si="27"/>
        <v>0</v>
      </c>
      <c r="K79" s="280">
        <f t="shared" ca="1" si="27"/>
        <v>0</v>
      </c>
      <c r="L79" s="280">
        <f t="shared" ca="1" si="27"/>
        <v>0</v>
      </c>
      <c r="M79" s="280">
        <f t="shared" ca="1" si="27"/>
        <v>0</v>
      </c>
      <c r="N79" s="280">
        <f t="shared" ca="1" si="27"/>
        <v>0</v>
      </c>
      <c r="O79" s="280">
        <f t="shared" ca="1" si="27"/>
        <v>0</v>
      </c>
      <c r="P79" s="280">
        <f t="shared" ca="1" si="27"/>
        <v>0</v>
      </c>
      <c r="Q79" s="280">
        <f t="shared" ca="1" si="27"/>
        <v>0</v>
      </c>
      <c r="R79" s="280">
        <f t="shared" ca="1" si="27"/>
        <v>0</v>
      </c>
      <c r="S79" s="280">
        <f t="shared" ca="1" si="27"/>
        <v>0</v>
      </c>
      <c r="T79" s="280">
        <f t="shared" ca="1" si="27"/>
        <v>0</v>
      </c>
      <c r="U79" s="280">
        <f t="shared" ca="1" si="27"/>
        <v>0</v>
      </c>
      <c r="V79" s="280">
        <f t="shared" ca="1" si="27"/>
        <v>0</v>
      </c>
      <c r="W79" s="280">
        <f t="shared" ca="1" si="27"/>
        <v>0</v>
      </c>
      <c r="X79" s="280">
        <f t="shared" ca="1" si="27"/>
        <v>0</v>
      </c>
      <c r="Y79" s="280">
        <f t="shared" ca="1" si="27"/>
        <v>0</v>
      </c>
      <c r="Z79" s="280">
        <f t="shared" ca="1" si="27"/>
        <v>0</v>
      </c>
      <c r="AA79" s="280">
        <f t="shared" ca="1" si="27"/>
        <v>0</v>
      </c>
      <c r="AB79" s="280">
        <f t="shared" ca="1" si="27"/>
        <v>0</v>
      </c>
      <c r="AC79" s="280">
        <f t="shared" ca="1" si="27"/>
        <v>0</v>
      </c>
      <c r="AD79" s="280">
        <f t="shared" ca="1" si="27"/>
        <v>0</v>
      </c>
      <c r="AE79" s="280">
        <f t="shared" ca="1" si="27"/>
        <v>0</v>
      </c>
      <c r="AF79" s="280">
        <f t="shared" ca="1" si="27"/>
        <v>0</v>
      </c>
      <c r="AG79" s="205" t="str">
        <f t="shared" si="20"/>
        <v>Time supplement night shift</v>
      </c>
      <c r="AH79" s="274"/>
      <c r="AI79" s="238">
        <f t="shared" ref="AI79:AI80" ca="1" si="28">SUM(B79:AF79)</f>
        <v>0</v>
      </c>
      <c r="AJ79" s="261"/>
      <c r="AK79" s="224"/>
      <c r="AL79" s="245">
        <f ca="1">IF(EB.Anwendung&lt;&gt;"",IF(MONTH(Monat.Tag1)=1,EB.ZZNd,IF(MONTH(Monat.Tag1)=2,January!Monat.ZZNdUe,IF(MONTH(Monat.Tag1)=3,February!Monat.ZZNdUe,IF(MONTH(Monat.Tag1)=4,March!Monat.ZZNdUe,IF(MONTH(Monat.Tag1)=5,April!Monat.ZZNdUe,IF(MONTH(Monat.Tag1)=6,May!Monat.ZZNdUe,IF(MONTH(Monat.Tag1)=7,June!Monat.ZZNdUe,IF(MONTH(Monat.Tag1)=8,July!Monat.ZZNdUe,IF(MONTH(Monat.Tag1)=9,August!Monat.ZZNdUe,IF(MONTH(Monat.Tag1)=10,September!Monat.ZZNdUe,IF(MONTH(Monat.Tag1)=11,October!Monat.ZZNdUe,IF(MONTH(Monat.Tag1)=12,November!Monat.ZZNdUe,"")))))))))))),"")</f>
        <v>0</v>
      </c>
      <c r="AM79" s="209"/>
      <c r="AN79" s="246">
        <f ca="1">AI79+AL79-AI71</f>
        <v>0</v>
      </c>
      <c r="AO79" s="246">
        <f ca="1">OFFSET(Jahr.ZZSNDSaldo,-13+MONTH(Monat.Tag1),0,1,1)</f>
        <v>0</v>
      </c>
      <c r="AP79" s="246">
        <f ca="1">Jahr.ZZSNDSaldo</f>
        <v>0</v>
      </c>
      <c r="AQ79" s="119"/>
    </row>
    <row r="80" spans="1:43" s="38" customFormat="1" ht="15" customHeight="1" outlineLevel="1" x14ac:dyDescent="0.2">
      <c r="A80" s="212" t="s">
        <v>224</v>
      </c>
      <c r="B80" s="280" t="str">
        <f t="shared" ref="B80:AF80" si="29">IF(T.50_Vetsuisse,IF(OR(B$12=0,B$11=0,WEEKDAY(B$10,2)&gt;5),0,ROUND((MAX(0,T.Abendbis-MAX(B13,T.Abendab))-MAX(0,T.Abendbis-MAX(T.Abendab,B14))+(B13&gt;B14)*(1+T.Abendab-T.Abendbis)+MAX(0,T.Abendbis-MAX(B15,T.Abendab))-MAX(0,T.Abendbis-MAX(T.Abendab,B16))+(B15&gt;B16)*(1+T.Abendab-T.Abendbis)+MAX(0,T.Abendbis-MAX(B17,T.Abendab))-MAX(0,T.Abendbis-MAX(T.Abendab,B18))+(B17&gt;B18)*(1+T.Abendab-T.Abendbis)+MAX(0,T.Abendbis-MAX(B19,T.Abendab))-MAX(0,T.Abendbis-MAX(T.Abendab,B20))+(B19&gt;B20)*(1+T.Abendab-T.Abendbis)+MAX(0,T.Abendbis-MAX(B21,T.Abendab))-MAX(0,T.Abendbis-MAX(T.Abendab,B22))+(B21&gt;B22)*(1+T.Abendab-T.Abendbis))*1440,0)/1440),"")</f>
        <v/>
      </c>
      <c r="C80" s="280" t="str">
        <f t="shared" si="29"/>
        <v/>
      </c>
      <c r="D80" s="280" t="str">
        <f t="shared" si="29"/>
        <v/>
      </c>
      <c r="E80" s="280" t="str">
        <f t="shared" si="29"/>
        <v/>
      </c>
      <c r="F80" s="280" t="str">
        <f t="shared" si="29"/>
        <v/>
      </c>
      <c r="G80" s="280" t="str">
        <f t="shared" si="29"/>
        <v/>
      </c>
      <c r="H80" s="280" t="str">
        <f t="shared" si="29"/>
        <v/>
      </c>
      <c r="I80" s="280" t="str">
        <f t="shared" si="29"/>
        <v/>
      </c>
      <c r="J80" s="280" t="str">
        <f t="shared" si="29"/>
        <v/>
      </c>
      <c r="K80" s="280" t="str">
        <f t="shared" si="29"/>
        <v/>
      </c>
      <c r="L80" s="280" t="str">
        <f t="shared" si="29"/>
        <v/>
      </c>
      <c r="M80" s="280" t="str">
        <f t="shared" si="29"/>
        <v/>
      </c>
      <c r="N80" s="280" t="str">
        <f t="shared" si="29"/>
        <v/>
      </c>
      <c r="O80" s="280" t="str">
        <f t="shared" si="29"/>
        <v/>
      </c>
      <c r="P80" s="280" t="str">
        <f t="shared" si="29"/>
        <v/>
      </c>
      <c r="Q80" s="280" t="str">
        <f t="shared" si="29"/>
        <v/>
      </c>
      <c r="R80" s="280" t="str">
        <f t="shared" si="29"/>
        <v/>
      </c>
      <c r="S80" s="280" t="str">
        <f t="shared" si="29"/>
        <v/>
      </c>
      <c r="T80" s="280" t="str">
        <f t="shared" si="29"/>
        <v/>
      </c>
      <c r="U80" s="280" t="str">
        <f t="shared" si="29"/>
        <v/>
      </c>
      <c r="V80" s="280" t="str">
        <f t="shared" si="29"/>
        <v/>
      </c>
      <c r="W80" s="280" t="str">
        <f t="shared" si="29"/>
        <v/>
      </c>
      <c r="X80" s="280" t="str">
        <f t="shared" si="29"/>
        <v/>
      </c>
      <c r="Y80" s="280" t="str">
        <f t="shared" si="29"/>
        <v/>
      </c>
      <c r="Z80" s="280" t="str">
        <f t="shared" si="29"/>
        <v/>
      </c>
      <c r="AA80" s="280" t="str">
        <f t="shared" si="29"/>
        <v/>
      </c>
      <c r="AB80" s="280" t="str">
        <f t="shared" si="29"/>
        <v/>
      </c>
      <c r="AC80" s="280" t="str">
        <f t="shared" si="29"/>
        <v/>
      </c>
      <c r="AD80" s="280" t="str">
        <f t="shared" si="29"/>
        <v/>
      </c>
      <c r="AE80" s="280" t="str">
        <f t="shared" si="29"/>
        <v/>
      </c>
      <c r="AF80" s="280" t="str">
        <f t="shared" si="29"/>
        <v/>
      </c>
      <c r="AG80" s="205" t="str">
        <f t="shared" si="20"/>
        <v>Evening work</v>
      </c>
      <c r="AH80" s="274"/>
      <c r="AI80" s="238">
        <f t="shared" si="28"/>
        <v>0</v>
      </c>
      <c r="AJ80" s="261"/>
      <c r="AK80" s="224"/>
      <c r="AL80" s="245">
        <f ca="1">IF(EB.Anwendung&lt;&gt;"",IF(MONTH(Monat.Tag1)=1,0,IF(MONTH(Monat.Tag1)=2,January!Monat.AAUeVM,IF(MONTH(Monat.Tag1)=3,February!Monat.AAUeVM,IF(MONTH(Monat.Tag1)=4,March!Monat.AAUeVM,IF(MONTH(Monat.Tag1)=5,April!Monat.AAUeVM,IF(MONTH(Monat.Tag1)=6,May!Monat.AAUeVM,IF(MONTH(Monat.Tag1)=7,June!Monat.AAUeVM,IF(MONTH(Monat.Tag1)=8,July!Monat.AAUeVM,IF(MONTH(Monat.Tag1)=9,August!Monat.AAUeVM,IF(MONTH(Monat.Tag1)=10,September!Monat.AAUeVM,IF(MONTH(Monat.Tag1)=11,October!Monat.AAUeVM,IF(MONTH(Monat.Tag1)=12,November!Monat.AAUeVM,"")))))))))))),"")</f>
        <v>0</v>
      </c>
      <c r="AM80" s="209"/>
      <c r="AN80" s="246">
        <f ca="1">AI80+AL80</f>
        <v>0</v>
      </c>
      <c r="AO80" s="208"/>
      <c r="AP80" s="208"/>
      <c r="AQ80" s="119"/>
    </row>
    <row r="81" spans="1:43" s="38" customFormat="1" ht="15" customHeight="1" outlineLevel="1" x14ac:dyDescent="0.2">
      <c r="A81" s="212" t="s">
        <v>89</v>
      </c>
      <c r="B81" s="280">
        <f t="shared" ref="B81:AF81" ca="1" si="30">IF(EB.Wochenarbeitszeit=50/24,"",IF(B$12=0,0,IF(OR(WEEKDAY(B$10,2)&gt;5,B$11=0),IF(NOT(B$34=INDEX(T.Pikett.Bereich,1)),1,0),IF(WEEKDAY(B$10,2)&lt;6,IF(AND(OR(B$34=INDEX(T.Pikett.Bereich,2),B$34=INDEX(T.Pikett.Bereich,3)),B$11=1),8/24,0))+IF(WEEKDAY(B$10,2)&lt;6,IF(AND(OR(B$34=INDEX(T.Pikett.Bereich,2),B$34=INDEX(T.Pikett.Bereich,3)),B$11=6/8.4),10/24,0))
+IF(WEEKDAY(B$10,2)&lt;6,IF(AND(OR(B$34=INDEX(T.Pikett.Bereich,2),B$34=INDEX(T.Pikett.Bereich,3)),B$11=0.5),0.5,0))
+IF(AND(B$34=INDEX(T.Pikett.Bereich,4),B$11=6/8.4),0.75,0)+IF(AND(B$34=INDEX(T.Pikett.Bereich,4),B$11=1),16/24,0)
+IF(AND(B$34=INDEX(T.Pikett.Bereich,4),B$11=0.5),20/24,0))))</f>
        <v>0</v>
      </c>
      <c r="C81" s="280">
        <f t="shared" ca="1" si="30"/>
        <v>0</v>
      </c>
      <c r="D81" s="280">
        <f t="shared" ca="1" si="30"/>
        <v>0</v>
      </c>
      <c r="E81" s="280">
        <f t="shared" ca="1" si="30"/>
        <v>0</v>
      </c>
      <c r="F81" s="280">
        <f t="shared" ca="1" si="30"/>
        <v>0</v>
      </c>
      <c r="G81" s="280">
        <f t="shared" ca="1" si="30"/>
        <v>0</v>
      </c>
      <c r="H81" s="280">
        <f t="shared" ca="1" si="30"/>
        <v>0</v>
      </c>
      <c r="I81" s="280">
        <f t="shared" ca="1" si="30"/>
        <v>0</v>
      </c>
      <c r="J81" s="280">
        <f t="shared" ca="1" si="30"/>
        <v>0</v>
      </c>
      <c r="K81" s="280">
        <f t="shared" ca="1" si="30"/>
        <v>0</v>
      </c>
      <c r="L81" s="280">
        <f t="shared" ca="1" si="30"/>
        <v>0</v>
      </c>
      <c r="M81" s="280">
        <f t="shared" ca="1" si="30"/>
        <v>0</v>
      </c>
      <c r="N81" s="280">
        <f t="shared" ca="1" si="30"/>
        <v>0</v>
      </c>
      <c r="O81" s="280">
        <f t="shared" ca="1" si="30"/>
        <v>0</v>
      </c>
      <c r="P81" s="280">
        <f t="shared" ca="1" si="30"/>
        <v>0</v>
      </c>
      <c r="Q81" s="280">
        <f t="shared" ca="1" si="30"/>
        <v>0</v>
      </c>
      <c r="R81" s="280">
        <f t="shared" ca="1" si="30"/>
        <v>0</v>
      </c>
      <c r="S81" s="280">
        <f t="shared" ca="1" si="30"/>
        <v>0</v>
      </c>
      <c r="T81" s="280">
        <f t="shared" ca="1" si="30"/>
        <v>0</v>
      </c>
      <c r="U81" s="280">
        <f t="shared" ca="1" si="30"/>
        <v>0</v>
      </c>
      <c r="V81" s="280">
        <f t="shared" ca="1" si="30"/>
        <v>0</v>
      </c>
      <c r="W81" s="280">
        <f t="shared" ca="1" si="30"/>
        <v>0</v>
      </c>
      <c r="X81" s="280">
        <f t="shared" ca="1" si="30"/>
        <v>0</v>
      </c>
      <c r="Y81" s="280">
        <f t="shared" ca="1" si="30"/>
        <v>0</v>
      </c>
      <c r="Z81" s="280">
        <f t="shared" ca="1" si="30"/>
        <v>0</v>
      </c>
      <c r="AA81" s="280">
        <f t="shared" ca="1" si="30"/>
        <v>0</v>
      </c>
      <c r="AB81" s="280">
        <f t="shared" ca="1" si="30"/>
        <v>0</v>
      </c>
      <c r="AC81" s="280">
        <f t="shared" ca="1" si="30"/>
        <v>0</v>
      </c>
      <c r="AD81" s="280">
        <f t="shared" ca="1" si="30"/>
        <v>0</v>
      </c>
      <c r="AE81" s="280">
        <f t="shared" ca="1" si="30"/>
        <v>0</v>
      </c>
      <c r="AF81" s="280">
        <f t="shared" ca="1" si="30"/>
        <v>0</v>
      </c>
      <c r="AG81" s="205" t="str">
        <f t="shared" si="20"/>
        <v>On-call duty</v>
      </c>
      <c r="AH81" s="274"/>
      <c r="AI81" s="238">
        <f ca="1">SUM(B81:AF81)</f>
        <v>0</v>
      </c>
      <c r="AJ81" s="261"/>
      <c r="AK81" s="224"/>
      <c r="AL81" s="245">
        <f ca="1">IF(EB.Anwendung&lt;&gt;"",IF(MONTH(Monat.Tag1)=1,0,IF(MONTH(Monat.Tag1)=2,January!Monat.BDUeVM,IF(MONTH(Monat.Tag1)=3,February!Monat.BDUeVM,IF(MONTH(Monat.Tag1)=4,March!Monat.BDUeVM,IF(MONTH(Monat.Tag1)=5,April!Monat.BDUeVM,IF(MONTH(Monat.Tag1)=6,May!Monat.BDUeVM,IF(MONTH(Monat.Tag1)=7,June!Monat.BDUeVM,IF(MONTH(Monat.Tag1)=8,July!Monat.BDUeVM,IF(MONTH(Monat.Tag1)=9,August!Monat.BDUeVM,IF(MONTH(Monat.Tag1)=10,September!Monat.BDUeVM,IF(MONTH(Monat.Tag1)=11,October!Monat.BDUeVM,IF(MONTH(Monat.Tag1)=12,November!Monat.BDUeVM,"")))))))))))),"")</f>
        <v>0</v>
      </c>
      <c r="AM81" s="209"/>
      <c r="AN81" s="246">
        <f ca="1">AI81+AL81</f>
        <v>0</v>
      </c>
      <c r="AO81" s="208"/>
      <c r="AP81" s="208"/>
      <c r="AQ81" s="119"/>
    </row>
    <row r="82" spans="1:43" s="38" customFormat="1" ht="15" customHeight="1" outlineLevel="1" x14ac:dyDescent="0.2">
      <c r="A82" s="212" t="s">
        <v>90</v>
      </c>
      <c r="B82" s="280">
        <f t="shared" ref="B82:AF82" ca="1" si="31">IF(B$12=0,"",IF(OR(WEEKDAY(B$10,2)&gt;5,B$11=0),
IF(T.50_NoVetsuisse,B45,
IF(T.50_Vetsuisse,IF(B23-B73=0,"",B23-B73),
IF(T.ServiceCenterIrchel,B23,
B60))),))</f>
        <v>0</v>
      </c>
      <c r="C82" s="280">
        <f t="shared" ca="1" si="31"/>
        <v>0</v>
      </c>
      <c r="D82" s="281" t="str">
        <f t="shared" ca="1" si="31"/>
        <v/>
      </c>
      <c r="E82" s="280" t="str">
        <f t="shared" ca="1" si="31"/>
        <v/>
      </c>
      <c r="F82" s="281">
        <f t="shared" ca="1" si="31"/>
        <v>0</v>
      </c>
      <c r="G82" s="281">
        <f t="shared" ca="1" si="31"/>
        <v>0</v>
      </c>
      <c r="H82" s="281">
        <f t="shared" ca="1" si="31"/>
        <v>0</v>
      </c>
      <c r="I82" s="281">
        <f t="shared" ca="1" si="31"/>
        <v>0</v>
      </c>
      <c r="J82" s="280">
        <f t="shared" ca="1" si="31"/>
        <v>0</v>
      </c>
      <c r="K82" s="281" t="str">
        <f t="shared" ca="1" si="31"/>
        <v/>
      </c>
      <c r="L82" s="280" t="str">
        <f t="shared" ca="1" si="31"/>
        <v/>
      </c>
      <c r="M82" s="281">
        <f t="shared" ca="1" si="31"/>
        <v>0</v>
      </c>
      <c r="N82" s="281">
        <f t="shared" ca="1" si="31"/>
        <v>0</v>
      </c>
      <c r="O82" s="281">
        <f t="shared" ca="1" si="31"/>
        <v>0</v>
      </c>
      <c r="P82" s="281">
        <f t="shared" ca="1" si="31"/>
        <v>0</v>
      </c>
      <c r="Q82" s="280">
        <f t="shared" ca="1" si="31"/>
        <v>0</v>
      </c>
      <c r="R82" s="281" t="str">
        <f t="shared" ca="1" si="31"/>
        <v/>
      </c>
      <c r="S82" s="280" t="str">
        <f t="shared" ca="1" si="31"/>
        <v/>
      </c>
      <c r="T82" s="280">
        <f t="shared" ca="1" si="31"/>
        <v>0</v>
      </c>
      <c r="U82" s="281">
        <f t="shared" ca="1" si="31"/>
        <v>0</v>
      </c>
      <c r="V82" s="281">
        <f t="shared" ca="1" si="31"/>
        <v>0</v>
      </c>
      <c r="W82" s="281">
        <f t="shared" ca="1" si="31"/>
        <v>0</v>
      </c>
      <c r="X82" s="280">
        <f t="shared" ca="1" si="31"/>
        <v>0</v>
      </c>
      <c r="Y82" s="281" t="str">
        <f t="shared" ca="1" si="31"/>
        <v/>
      </c>
      <c r="Z82" s="282" t="str">
        <f t="shared" ca="1" si="31"/>
        <v/>
      </c>
      <c r="AA82" s="281">
        <f t="shared" ca="1" si="31"/>
        <v>0</v>
      </c>
      <c r="AB82" s="281">
        <f t="shared" ca="1" si="31"/>
        <v>0</v>
      </c>
      <c r="AC82" s="281">
        <f t="shared" ca="1" si="31"/>
        <v>0</v>
      </c>
      <c r="AD82" s="281">
        <f t="shared" ca="1" si="31"/>
        <v>0</v>
      </c>
      <c r="AE82" s="280">
        <f t="shared" ca="1" si="31"/>
        <v>0</v>
      </c>
      <c r="AF82" s="281" t="str">
        <f t="shared" ca="1" si="31"/>
        <v/>
      </c>
      <c r="AG82" s="205" t="str">
        <f t="shared" si="20"/>
        <v>Saturday/Sunday shift</v>
      </c>
      <c r="AH82" s="228"/>
      <c r="AI82" s="238">
        <f ca="1">SUM(B82:AF82)</f>
        <v>0</v>
      </c>
      <c r="AJ82" s="229">
        <f ca="1">IFERROR(SUMPRODUCT((B82:AF82&gt;0)*(B82:AF82&lt;&gt;"")),0)</f>
        <v>0</v>
      </c>
      <c r="AK82" s="224"/>
      <c r="AL82" s="245">
        <f ca="1">IF(EB.Anwendung&lt;&gt;"",IF(MONTH(Monat.Tag1)=1,0,IF(MONTH(Monat.Tag1)=2,January!Monat.SDUeVM,IF(MONTH(Monat.Tag1)=3,February!Monat.SDUeVM,IF(MONTH(Monat.Tag1)=4,March!Monat.SDUeVM,IF(MONTH(Monat.Tag1)=5,April!Monat.SDUeVM,IF(MONTH(Monat.Tag1)=6,May!Monat.SDUeVM,IF(MONTH(Monat.Tag1)=7,June!Monat.SDUeVM,IF(MONTH(Monat.Tag1)=8,July!Monat.SDUeVM,IF(MONTH(Monat.Tag1)=9,August!Monat.SDUeVM,IF(MONTH(Monat.Tag1)=10,September!Monat.SDUeVM,IF(MONTH(Monat.Tag1)=11,October!Monat.SDUeVM,IF(MONTH(Monat.Tag1)=12,November!Monat.SDUeVM,"")))))))))))),"")</f>
        <v>0</v>
      </c>
      <c r="AM82" s="209"/>
      <c r="AN82" s="246">
        <f ca="1">AI82+AL82</f>
        <v>0</v>
      </c>
      <c r="AO82" s="208"/>
      <c r="AP82" s="208"/>
      <c r="AQ82" s="119"/>
    </row>
    <row r="83" spans="1:43" s="38" customFormat="1" ht="11.25" customHeight="1" outlineLevel="1" x14ac:dyDescent="0.2">
      <c r="A83" s="220"/>
      <c r="B83" s="226"/>
      <c r="C83" s="226"/>
      <c r="D83" s="226"/>
      <c r="E83" s="226"/>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7"/>
      <c r="AG83" s="205"/>
      <c r="AH83" s="228"/>
      <c r="AI83" s="224"/>
      <c r="AJ83" s="278"/>
      <c r="AK83" s="262"/>
      <c r="AL83" s="262"/>
      <c r="AM83" s="209"/>
      <c r="AN83" s="279"/>
      <c r="AO83" s="283"/>
      <c r="AP83" s="283"/>
      <c r="AQ83" s="119"/>
    </row>
    <row r="84" spans="1:43" s="38" customFormat="1" ht="15" customHeight="1" x14ac:dyDescent="0.2">
      <c r="A84" s="212" t="s">
        <v>80</v>
      </c>
      <c r="B84" s="40"/>
      <c r="C84" s="40"/>
      <c r="D84" s="40"/>
      <c r="E84" s="40"/>
      <c r="F84" s="40"/>
      <c r="G84" s="40"/>
      <c r="H84" s="40"/>
      <c r="I84" s="40"/>
      <c r="J84" s="40"/>
      <c r="K84" s="40"/>
      <c r="L84" s="40"/>
      <c r="M84" s="40"/>
      <c r="N84" s="40"/>
      <c r="O84" s="40"/>
      <c r="P84" s="40"/>
      <c r="Q84" s="40"/>
      <c r="R84" s="40"/>
      <c r="S84" s="40"/>
      <c r="T84" s="40"/>
      <c r="U84" s="40"/>
      <c r="V84" s="40"/>
      <c r="W84" s="40"/>
      <c r="X84" s="40"/>
      <c r="Y84" s="40"/>
      <c r="Z84" s="47"/>
      <c r="AA84" s="40"/>
      <c r="AB84" s="40"/>
      <c r="AC84" s="40"/>
      <c r="AD84" s="40"/>
      <c r="AE84" s="40"/>
      <c r="AF84" s="40"/>
      <c r="AG84" s="205" t="str">
        <f>A84 &amp; IFERROR(IF(AND(MONTH(Monat.Tag1)=6,EB.Jahr&gt;2020),IF(SUM(Jahresabrechnung!AC15:AC20)&lt;EB.FerienBer,IF(EB.Sprache="EN"," (Balance PY "," (Saldo VJ ") &amp; " &gt; 0!)",""),""),"")</f>
        <v>Vacation</v>
      </c>
      <c r="AH84" s="218"/>
      <c r="AI84" s="238">
        <f t="shared" ref="AI84:AI95" si="32">SUM(B84:AF84)</f>
        <v>0</v>
      </c>
      <c r="AJ84" s="261"/>
      <c r="AK84" s="245">
        <f ca="1">OFFSET(EB.MFAStd.Knoten,MONTH(Monat.Tag1),0,1,1)</f>
        <v>0</v>
      </c>
      <c r="AL84" s="245">
        <f ca="1">IF(EB.Anwendung&lt;&gt;"",IF(MONTH(Monat.Tag1)=1,EB.FerienBer,IF(MONTH(Monat.Tag1)=2,January!Monat.FerienUeVM,IF(MONTH(Monat.Tag1)=3,February!Monat.FerienUeVM,IF(MONTH(Monat.Tag1)=4,March!Monat.FerienUeVM,IF(MONTH(Monat.Tag1)=5,April!Monat.FerienUeVM,IF(MONTH(Monat.Tag1)=6,May!Monat.FerienUeVM,IF(MONTH(Monat.Tag1)=7,June!Monat.FerienUeVM,IF(MONTH(Monat.Tag1)=8,July!Monat.FerienUeVM,IF(MONTH(Monat.Tag1)=9,August!Monat.FerienUeVM,IF(MONTH(Monat.Tag1)=10,September!Monat.FerienUeVM,IF(MONTH(Monat.Tag1)=11,October!Monat.FerienUeVM,IF(MONTH(Monat.Tag1)=12,November!Monat.FerienUeVM,"")))))))))))),"")</f>
        <v>0</v>
      </c>
      <c r="AM84" s="209"/>
      <c r="AN84" s="246">
        <f ca="1">ROUND(IF(AH85="+",(AK84+AL84-Monat.Ferien.Total+AI85),(AK84+AL84-Monat.Ferien.Total-AI85))*1440,0)/1440</f>
        <v>0</v>
      </c>
      <c r="AO84" s="246">
        <f ca="1">SUM(Jahresabrechnung!AC12:AC13)-SUM(OFFSET(Jahresabrechnung!AC15,0,0,MONTH(Monat.Tag1),1))</f>
        <v>0</v>
      </c>
      <c r="AP84" s="246">
        <f ca="1">J.FerienUE.Total</f>
        <v>0</v>
      </c>
      <c r="AQ84" s="119"/>
    </row>
    <row r="85" spans="1:43" s="38" customFormat="1" ht="15" customHeight="1" x14ac:dyDescent="0.2">
      <c r="A85" s="220"/>
      <c r="B85" s="437">
        <f t="shared" ref="B85:AF85" ca="1" si="33">IF(DAY(B$10)=1,Monat.Ferien.JS+Monat.Ferien.Total-B84,A85-B84)</f>
        <v>0</v>
      </c>
      <c r="C85" s="437">
        <f t="shared" ca="1" si="33"/>
        <v>0</v>
      </c>
      <c r="D85" s="437">
        <f t="shared" ca="1" si="33"/>
        <v>0</v>
      </c>
      <c r="E85" s="437">
        <f t="shared" ca="1" si="33"/>
        <v>0</v>
      </c>
      <c r="F85" s="437">
        <f t="shared" ca="1" si="33"/>
        <v>0</v>
      </c>
      <c r="G85" s="437">
        <f t="shared" ca="1" si="33"/>
        <v>0</v>
      </c>
      <c r="H85" s="437">
        <f t="shared" ca="1" si="33"/>
        <v>0</v>
      </c>
      <c r="I85" s="437">
        <f t="shared" ca="1" si="33"/>
        <v>0</v>
      </c>
      <c r="J85" s="437">
        <f t="shared" ca="1" si="33"/>
        <v>0</v>
      </c>
      <c r="K85" s="437">
        <f t="shared" ca="1" si="33"/>
        <v>0</v>
      </c>
      <c r="L85" s="437">
        <f t="shared" ca="1" si="33"/>
        <v>0</v>
      </c>
      <c r="M85" s="437">
        <f t="shared" ca="1" si="33"/>
        <v>0</v>
      </c>
      <c r="N85" s="437">
        <f t="shared" ca="1" si="33"/>
        <v>0</v>
      </c>
      <c r="O85" s="437">
        <f t="shared" ca="1" si="33"/>
        <v>0</v>
      </c>
      <c r="P85" s="437">
        <f t="shared" ca="1" si="33"/>
        <v>0</v>
      </c>
      <c r="Q85" s="437">
        <f t="shared" ca="1" si="33"/>
        <v>0</v>
      </c>
      <c r="R85" s="437">
        <f t="shared" ca="1" si="33"/>
        <v>0</v>
      </c>
      <c r="S85" s="437">
        <f t="shared" ca="1" si="33"/>
        <v>0</v>
      </c>
      <c r="T85" s="437">
        <f t="shared" ca="1" si="33"/>
        <v>0</v>
      </c>
      <c r="U85" s="437">
        <f t="shared" ca="1" si="33"/>
        <v>0</v>
      </c>
      <c r="V85" s="437">
        <f t="shared" ca="1" si="33"/>
        <v>0</v>
      </c>
      <c r="W85" s="437">
        <f t="shared" ca="1" si="33"/>
        <v>0</v>
      </c>
      <c r="X85" s="437">
        <f t="shared" ca="1" si="33"/>
        <v>0</v>
      </c>
      <c r="Y85" s="437">
        <f t="shared" ca="1" si="33"/>
        <v>0</v>
      </c>
      <c r="Z85" s="437">
        <f t="shared" ca="1" si="33"/>
        <v>0</v>
      </c>
      <c r="AA85" s="437">
        <f t="shared" ca="1" si="33"/>
        <v>0</v>
      </c>
      <c r="AB85" s="437">
        <f t="shared" ca="1" si="33"/>
        <v>0</v>
      </c>
      <c r="AC85" s="437">
        <f t="shared" ca="1" si="33"/>
        <v>0</v>
      </c>
      <c r="AD85" s="437">
        <f t="shared" ca="1" si="33"/>
        <v>0</v>
      </c>
      <c r="AE85" s="437">
        <f t="shared" ca="1" si="33"/>
        <v>0</v>
      </c>
      <c r="AF85" s="438">
        <f t="shared" ca="1" si="33"/>
        <v>0</v>
      </c>
      <c r="AG85" s="212" t="s">
        <v>92</v>
      </c>
      <c r="AH85" s="45" t="s">
        <v>2</v>
      </c>
      <c r="AI85" s="48"/>
      <c r="AJ85" s="270"/>
      <c r="AK85" s="209"/>
      <c r="AL85" s="209"/>
      <c r="AM85" s="209"/>
      <c r="AN85" s="208"/>
      <c r="AO85" s="284"/>
      <c r="AP85" s="284"/>
      <c r="AQ85" s="119"/>
    </row>
    <row r="86" spans="1:43" s="38" customFormat="1" ht="15" customHeight="1" x14ac:dyDescent="0.2">
      <c r="A86" s="212" t="s">
        <v>81</v>
      </c>
      <c r="B86" s="40"/>
      <c r="C86" s="40"/>
      <c r="D86" s="40"/>
      <c r="E86" s="27"/>
      <c r="F86" s="40"/>
      <c r="G86" s="40"/>
      <c r="H86" s="40"/>
      <c r="I86" s="40"/>
      <c r="J86" s="27"/>
      <c r="K86" s="40"/>
      <c r="L86" s="27"/>
      <c r="M86" s="40"/>
      <c r="N86" s="40"/>
      <c r="O86" s="40"/>
      <c r="P86" s="40"/>
      <c r="Q86" s="27"/>
      <c r="R86" s="40"/>
      <c r="S86" s="27"/>
      <c r="T86" s="27"/>
      <c r="U86" s="40"/>
      <c r="V86" s="40"/>
      <c r="W86" s="40"/>
      <c r="X86" s="27"/>
      <c r="Y86" s="40"/>
      <c r="Z86" s="39"/>
      <c r="AA86" s="40"/>
      <c r="AB86" s="40"/>
      <c r="AC86" s="40"/>
      <c r="AD86" s="40"/>
      <c r="AE86" s="27"/>
      <c r="AF86" s="40"/>
      <c r="AG86" s="205" t="str">
        <f t="shared" ref="AG86:AG112" si="34">A86</f>
        <v>Consultation</v>
      </c>
      <c r="AH86" s="218"/>
      <c r="AI86" s="238">
        <f t="shared" si="32"/>
        <v>0</v>
      </c>
      <c r="AJ86" s="261"/>
      <c r="AK86" s="262"/>
      <c r="AL86" s="245">
        <f ca="1">IF(EB.Anwendung&lt;&gt;"",IF(MONTH(Monat.Tag1)=1,0,IF(MONTH(Monat.Tag1)=2,January!Monat.ArztUeVM,IF(MONTH(Monat.Tag1)=3,February!Monat.ArztUeVM,IF(MONTH(Monat.Tag1)=4,March!Monat.ArztUeVM,IF(MONTH(Monat.Tag1)=5,April!Monat.ArztUeVM,IF(MONTH(Monat.Tag1)=6,May!Monat.ArztUeVM,IF(MONTH(Monat.Tag1)=7,June!Monat.ArztUeVM,IF(MONTH(Monat.Tag1)=8,July!Monat.ArztUeVM,IF(MONTH(Monat.Tag1)=9,August!Monat.ArztUeVM,IF(MONTH(Monat.Tag1)=10,September!Monat.ArztUeVM,IF(MONTH(Monat.Tag1)=11,October!Monat.ArztUeVM,IF(MONTH(Monat.Tag1)=12,November!Monat.ArztUeVM,"")))))))))))),"")</f>
        <v>0</v>
      </c>
      <c r="AM86" s="209"/>
      <c r="AN86" s="246">
        <f t="shared" ref="AN86:AN94" ca="1" si="35">AI86+AL86</f>
        <v>0</v>
      </c>
      <c r="AO86" s="208"/>
      <c r="AP86" s="208"/>
      <c r="AQ86" s="119"/>
    </row>
    <row r="87" spans="1:43" s="38" customFormat="1" ht="15" customHeight="1" x14ac:dyDescent="0.2">
      <c r="A87" s="212" t="s">
        <v>82</v>
      </c>
      <c r="B87" s="40"/>
      <c r="C87" s="40"/>
      <c r="D87" s="40"/>
      <c r="E87" s="27"/>
      <c r="F87" s="40"/>
      <c r="G87" s="40"/>
      <c r="H87" s="40"/>
      <c r="I87" s="40"/>
      <c r="J87" s="27"/>
      <c r="K87" s="40"/>
      <c r="L87" s="27"/>
      <c r="M87" s="40"/>
      <c r="N87" s="40"/>
      <c r="O87" s="40"/>
      <c r="P87" s="40"/>
      <c r="Q87" s="27"/>
      <c r="R87" s="40"/>
      <c r="S87" s="27"/>
      <c r="T87" s="27"/>
      <c r="U87" s="40"/>
      <c r="V87" s="40"/>
      <c r="W87" s="40"/>
      <c r="X87" s="27"/>
      <c r="Y87" s="40"/>
      <c r="Z87" s="39"/>
      <c r="AA87" s="40"/>
      <c r="AB87" s="40"/>
      <c r="AC87" s="40"/>
      <c r="AD87" s="40"/>
      <c r="AE87" s="27"/>
      <c r="AF87" s="40"/>
      <c r="AG87" s="205" t="str">
        <f t="shared" si="34"/>
        <v>Illness</v>
      </c>
      <c r="AH87" s="218"/>
      <c r="AI87" s="238">
        <f t="shared" si="32"/>
        <v>0</v>
      </c>
      <c r="AJ87" s="261"/>
      <c r="AK87" s="262"/>
      <c r="AL87" s="245">
        <f ca="1">IF(EB.Anwendung&lt;&gt;"",IF(MONTH(Monat.Tag1)=1,0,IF(MONTH(Monat.Tag1)=2,January!Monat.KrankUeVM,IF(MONTH(Monat.Tag1)=3,February!Monat.KrankUeVM,IF(MONTH(Monat.Tag1)=4,March!Monat.KrankUeVM,IF(MONTH(Monat.Tag1)=5,April!Monat.KrankUeVM,IF(MONTH(Monat.Tag1)=6,May!Monat.KrankUeVM,IF(MONTH(Monat.Tag1)=7,June!Monat.KrankUeVM,IF(MONTH(Monat.Tag1)=8,July!Monat.KrankUeVM,IF(MONTH(Monat.Tag1)=9,August!Monat.KrankUeVM,IF(MONTH(Monat.Tag1)=10,September!Monat.KrankUeVM,IF(MONTH(Monat.Tag1)=11,October!Monat.KrankUeVM,IF(MONTH(Monat.Tag1)=12,November!Monat.KrankUeVM,"")))))))))))),"")</f>
        <v>0</v>
      </c>
      <c r="AM87" s="209"/>
      <c r="AN87" s="246">
        <f t="shared" ca="1" si="35"/>
        <v>0</v>
      </c>
      <c r="AO87" s="208"/>
      <c r="AP87" s="208"/>
      <c r="AQ87" s="119"/>
    </row>
    <row r="88" spans="1:43" s="38" customFormat="1" ht="15" customHeight="1" x14ac:dyDescent="0.2">
      <c r="A88" s="212" t="s">
        <v>83</v>
      </c>
      <c r="B88" s="40"/>
      <c r="C88" s="40"/>
      <c r="D88" s="40"/>
      <c r="E88" s="27"/>
      <c r="F88" s="40"/>
      <c r="G88" s="40"/>
      <c r="H88" s="40"/>
      <c r="I88" s="40"/>
      <c r="J88" s="27"/>
      <c r="K88" s="40"/>
      <c r="L88" s="27"/>
      <c r="M88" s="40"/>
      <c r="N88" s="40"/>
      <c r="O88" s="40"/>
      <c r="P88" s="40"/>
      <c r="Q88" s="27"/>
      <c r="R88" s="40"/>
      <c r="S88" s="27"/>
      <c r="T88" s="27"/>
      <c r="U88" s="40"/>
      <c r="V88" s="40"/>
      <c r="W88" s="40"/>
      <c r="X88" s="27"/>
      <c r="Y88" s="40"/>
      <c r="Z88" s="39"/>
      <c r="AA88" s="40"/>
      <c r="AB88" s="40"/>
      <c r="AC88" s="40"/>
      <c r="AD88" s="40"/>
      <c r="AE88" s="27"/>
      <c r="AF88" s="40"/>
      <c r="AG88" s="205" t="str">
        <f t="shared" si="34"/>
        <v>Work-related accident</v>
      </c>
      <c r="AH88" s="218"/>
      <c r="AI88" s="238">
        <f t="shared" si="32"/>
        <v>0</v>
      </c>
      <c r="AJ88" s="261"/>
      <c r="AK88" s="262"/>
      <c r="AL88" s="245">
        <f ca="1">IF(EB.Anwendung&lt;&gt;"",IF(MONTH(Monat.Tag1)=1,0,IF(MONTH(Monat.Tag1)=2,January!Monat.BUUeVM,IF(MONTH(Monat.Tag1)=3,February!Monat.BUUeVM,IF(MONTH(Monat.Tag1)=4,March!Monat.BUUeVM,IF(MONTH(Monat.Tag1)=5,April!Monat.BUUeVM,IF(MONTH(Monat.Tag1)=6,May!Monat.BUUeVM,IF(MONTH(Monat.Tag1)=7,June!Monat.BUUeVM,IF(MONTH(Monat.Tag1)=8,July!Monat.BUUeVM,IF(MONTH(Monat.Tag1)=9,August!Monat.BUUeVM,IF(MONTH(Monat.Tag1)=10,September!Monat.BUUeVM,IF(MONTH(Monat.Tag1)=11,October!Monat.BUUeVM,IF(MONTH(Monat.Tag1)=12,November!Monat.BUUeVM,"")))))))))))),"")</f>
        <v>0</v>
      </c>
      <c r="AM88" s="209"/>
      <c r="AN88" s="246">
        <f t="shared" ca="1" si="35"/>
        <v>0</v>
      </c>
      <c r="AO88" s="208"/>
      <c r="AP88" s="208"/>
      <c r="AQ88" s="119"/>
    </row>
    <row r="89" spans="1:43" s="38" customFormat="1" ht="15" customHeight="1" x14ac:dyDescent="0.2">
      <c r="A89" s="212" t="s">
        <v>240</v>
      </c>
      <c r="B89" s="40"/>
      <c r="C89" s="40"/>
      <c r="D89" s="40"/>
      <c r="E89" s="27"/>
      <c r="F89" s="40"/>
      <c r="G89" s="40"/>
      <c r="H89" s="40"/>
      <c r="I89" s="40"/>
      <c r="J89" s="27"/>
      <c r="K89" s="40"/>
      <c r="L89" s="27"/>
      <c r="M89" s="40"/>
      <c r="N89" s="40"/>
      <c r="O89" s="40"/>
      <c r="P89" s="40"/>
      <c r="Q89" s="27"/>
      <c r="R89" s="40"/>
      <c r="S89" s="27"/>
      <c r="T89" s="27"/>
      <c r="U89" s="40"/>
      <c r="V89" s="40"/>
      <c r="W89" s="40"/>
      <c r="X89" s="27"/>
      <c r="Y89" s="40"/>
      <c r="Z89" s="39"/>
      <c r="AA89" s="40"/>
      <c r="AB89" s="40"/>
      <c r="AC89" s="40"/>
      <c r="AD89" s="40"/>
      <c r="AE89" s="27"/>
      <c r="AF89" s="40"/>
      <c r="AG89" s="205" t="str">
        <f t="shared" si="34"/>
        <v>Non-work-related accident</v>
      </c>
      <c r="AH89" s="218"/>
      <c r="AI89" s="238">
        <f t="shared" si="32"/>
        <v>0</v>
      </c>
      <c r="AJ89" s="261"/>
      <c r="AK89" s="262"/>
      <c r="AL89" s="245">
        <f ca="1">IF(EB.Anwendung&lt;&gt;"",IF(MONTH(Monat.Tag1)=1,0,IF(MONTH(Monat.Tag1)=2,January!Monat.NBUUeVM,IF(MONTH(Monat.Tag1)=3,February!Monat.NBUUeVM,IF(MONTH(Monat.Tag1)=4,March!Monat.NBUUeVM,IF(MONTH(Monat.Tag1)=5,April!Monat.NBUUeVM,IF(MONTH(Monat.Tag1)=6,May!Monat.NBUUeVM,IF(MONTH(Monat.Tag1)=7,June!Monat.NBUUeVM,IF(MONTH(Monat.Tag1)=8,July!Monat.NBUUeVM,IF(MONTH(Monat.Tag1)=9,August!Monat.NBUUeVM,IF(MONTH(Monat.Tag1)=10,September!Monat.NBUUeVM,IF(MONTH(Monat.Tag1)=11,October!Monat.NBUUeVM,IF(MONTH(Monat.Tag1)=12,November!Monat.NBUUeVM,"")))))))))))),"")</f>
        <v>0</v>
      </c>
      <c r="AM89" s="209"/>
      <c r="AN89" s="246">
        <f t="shared" ca="1" si="35"/>
        <v>0</v>
      </c>
      <c r="AO89" s="208"/>
      <c r="AP89" s="208"/>
      <c r="AQ89" s="119"/>
    </row>
    <row r="90" spans="1:43" s="38" customFormat="1" ht="15" customHeight="1" x14ac:dyDescent="0.2">
      <c r="A90" s="212" t="s">
        <v>84</v>
      </c>
      <c r="B90" s="40"/>
      <c r="C90" s="40"/>
      <c r="D90" s="40"/>
      <c r="E90" s="27"/>
      <c r="F90" s="40"/>
      <c r="G90" s="40"/>
      <c r="H90" s="40"/>
      <c r="I90" s="40"/>
      <c r="J90" s="27"/>
      <c r="K90" s="40"/>
      <c r="L90" s="27"/>
      <c r="M90" s="40"/>
      <c r="N90" s="40"/>
      <c r="O90" s="40"/>
      <c r="P90" s="40"/>
      <c r="Q90" s="27"/>
      <c r="R90" s="40"/>
      <c r="S90" s="27"/>
      <c r="T90" s="27"/>
      <c r="U90" s="40"/>
      <c r="V90" s="40"/>
      <c r="W90" s="40"/>
      <c r="X90" s="27"/>
      <c r="Y90" s="40"/>
      <c r="Z90" s="39"/>
      <c r="AA90" s="40"/>
      <c r="AB90" s="40"/>
      <c r="AC90" s="40"/>
      <c r="AD90" s="40"/>
      <c r="AE90" s="27"/>
      <c r="AF90" s="40"/>
      <c r="AG90" s="205" t="str">
        <f t="shared" si="34"/>
        <v>Military/civilian service</v>
      </c>
      <c r="AH90" s="218"/>
      <c r="AI90" s="238">
        <f t="shared" si="32"/>
        <v>0</v>
      </c>
      <c r="AJ90" s="261"/>
      <c r="AK90" s="262"/>
      <c r="AL90" s="245">
        <f ca="1">IF(EB.Anwendung&lt;&gt;"",IF(MONTH(Monat.Tag1)=1,0,IF(MONTH(Monat.Tag1)=2,January!Monat.MZSUeVM,IF(MONTH(Monat.Tag1)=3,February!Monat.MZSUeVM,IF(MONTH(Monat.Tag1)=4,March!Monat.MZSUeVM,IF(MONTH(Monat.Tag1)=5,April!Monat.MZSUeVM,IF(MONTH(Monat.Tag1)=6,May!Monat.MZSUeVM,IF(MONTH(Monat.Tag1)=7,June!Monat.MZSUeVM,IF(MONTH(Monat.Tag1)=8,July!Monat.MZSUeVM,IF(MONTH(Monat.Tag1)=9,August!Monat.MZSUeVM,IF(MONTH(Monat.Tag1)=10,September!Monat.MZSUeVM,IF(MONTH(Monat.Tag1)=11,October!Monat.MZSUeVM,IF(MONTH(Monat.Tag1)=12,November!Monat.MZSUeVM,"")))))))))))),"")</f>
        <v>0</v>
      </c>
      <c r="AM90" s="209"/>
      <c r="AN90" s="246">
        <f t="shared" ca="1" si="35"/>
        <v>0</v>
      </c>
      <c r="AO90" s="208"/>
      <c r="AP90" s="208"/>
      <c r="AQ90" s="119"/>
    </row>
    <row r="91" spans="1:43" s="38" customFormat="1" ht="15" customHeight="1" x14ac:dyDescent="0.2">
      <c r="A91" s="212" t="s">
        <v>85</v>
      </c>
      <c r="B91" s="40"/>
      <c r="C91" s="40"/>
      <c r="D91" s="40"/>
      <c r="E91" s="27"/>
      <c r="F91" s="40"/>
      <c r="G91" s="40"/>
      <c r="H91" s="40"/>
      <c r="I91" s="40"/>
      <c r="J91" s="27"/>
      <c r="K91" s="40"/>
      <c r="L91" s="27"/>
      <c r="M91" s="40"/>
      <c r="N91" s="40"/>
      <c r="O91" s="40"/>
      <c r="P91" s="40"/>
      <c r="Q91" s="27"/>
      <c r="R91" s="40"/>
      <c r="S91" s="27"/>
      <c r="T91" s="27"/>
      <c r="U91" s="40"/>
      <c r="V91" s="40"/>
      <c r="W91" s="40"/>
      <c r="X91" s="27"/>
      <c r="Y91" s="40"/>
      <c r="Z91" s="39"/>
      <c r="AA91" s="40"/>
      <c r="AB91" s="40"/>
      <c r="AC91" s="40"/>
      <c r="AD91" s="40"/>
      <c r="AE91" s="27"/>
      <c r="AF91" s="40"/>
      <c r="AG91" s="205" t="str">
        <f t="shared" si="34"/>
        <v>Continuing education</v>
      </c>
      <c r="AH91" s="218"/>
      <c r="AI91" s="238">
        <f t="shared" si="32"/>
        <v>0</v>
      </c>
      <c r="AJ91" s="261"/>
      <c r="AK91" s="262"/>
      <c r="AL91" s="245">
        <f ca="1">IF(EB.Anwendung&lt;&gt;"",IF(MONTH(Monat.Tag1)=1,0,IF(MONTH(Monat.Tag1)=2,January!Monat.WBUeVM,IF(MONTH(Monat.Tag1)=3,February!Monat.WBUeVM,IF(MONTH(Monat.Tag1)=4,March!Monat.WBUeVM,IF(MONTH(Monat.Tag1)=5,April!Monat.WBUeVM,IF(MONTH(Monat.Tag1)=6,May!Monat.WBUeVM,IF(MONTH(Monat.Tag1)=7,June!Monat.WBUeVM,IF(MONTH(Monat.Tag1)=8,July!Monat.WBUeVM,IF(MONTH(Monat.Tag1)=9,August!Monat.WBUeVM,IF(MONTH(Monat.Tag1)=10,September!Monat.WBUeVM,IF(MONTH(Monat.Tag1)=11,October!Monat.WBUeVM,IF(MONTH(Monat.Tag1)=12,November!Monat.WBUeVM,"")))))))))))),"")</f>
        <v>0</v>
      </c>
      <c r="AM91" s="209"/>
      <c r="AN91" s="246">
        <f t="shared" ca="1" si="35"/>
        <v>0</v>
      </c>
      <c r="AO91" s="208"/>
      <c r="AP91" s="208"/>
      <c r="AQ91" s="119"/>
    </row>
    <row r="92" spans="1:43" s="38" customFormat="1" ht="15" customHeight="1" x14ac:dyDescent="0.2">
      <c r="A92" s="212" t="s">
        <v>86</v>
      </c>
      <c r="B92" s="40"/>
      <c r="C92" s="40"/>
      <c r="D92" s="40"/>
      <c r="E92" s="27"/>
      <c r="F92" s="40"/>
      <c r="G92" s="40"/>
      <c r="H92" s="40"/>
      <c r="I92" s="40"/>
      <c r="J92" s="27"/>
      <c r="K92" s="40"/>
      <c r="L92" s="27"/>
      <c r="M92" s="40"/>
      <c r="N92" s="40"/>
      <c r="O92" s="40"/>
      <c r="P92" s="40"/>
      <c r="Q92" s="27"/>
      <c r="R92" s="40"/>
      <c r="S92" s="27"/>
      <c r="T92" s="27"/>
      <c r="U92" s="40"/>
      <c r="V92" s="40"/>
      <c r="W92" s="40"/>
      <c r="X92" s="27"/>
      <c r="Y92" s="40"/>
      <c r="Z92" s="39"/>
      <c r="AA92" s="40"/>
      <c r="AB92" s="40"/>
      <c r="AC92" s="40"/>
      <c r="AD92" s="40"/>
      <c r="AE92" s="27"/>
      <c r="AF92" s="40"/>
      <c r="AG92" s="205" t="str">
        <f t="shared" si="34"/>
        <v>Paid leave</v>
      </c>
      <c r="AH92" s="218"/>
      <c r="AI92" s="238">
        <f t="shared" si="32"/>
        <v>0</v>
      </c>
      <c r="AJ92" s="261"/>
      <c r="AK92" s="262"/>
      <c r="AL92" s="245">
        <f ca="1">IF(EB.Anwendung&lt;&gt;"",IF(MONTH(Monat.Tag1)=1,0,IF(MONTH(Monat.Tag1)=2,January!Monat.BesUrlaubUeVM,IF(MONTH(Monat.Tag1)=3,February!Monat.BesUrlaubUeVM,IF(MONTH(Monat.Tag1)=4,March!Monat.BesUrlaubUeVM,IF(MONTH(Monat.Tag1)=5,April!Monat.BesUrlaubUeVM,IF(MONTH(Monat.Tag1)=6,May!Monat.BesUrlaubUeVM,IF(MONTH(Monat.Tag1)=7,June!Monat.BesUrlaubUeVM,IF(MONTH(Monat.Tag1)=8,July!Monat.BesUrlaubUeVM,IF(MONTH(Monat.Tag1)=9,August!Monat.BesUrlaubUeVM,IF(MONTH(Monat.Tag1)=10,September!Monat.BesUrlaubUeVM,IF(MONTH(Monat.Tag1)=11,October!Monat.BesUrlaubUeVM,IF(MONTH(Monat.Tag1)=12,November!Monat.BesUrlaubUeVM,"")))))))))))),"")</f>
        <v>0</v>
      </c>
      <c r="AM92" s="209"/>
      <c r="AN92" s="246">
        <f t="shared" ca="1" si="35"/>
        <v>0</v>
      </c>
      <c r="AO92" s="208"/>
      <c r="AP92" s="208"/>
      <c r="AQ92" s="119"/>
    </row>
    <row r="93" spans="1:43" s="38" customFormat="1" ht="15" customHeight="1" x14ac:dyDescent="0.2">
      <c r="A93" s="212" t="s">
        <v>87</v>
      </c>
      <c r="B93" s="40"/>
      <c r="C93" s="40"/>
      <c r="D93" s="40"/>
      <c r="E93" s="27"/>
      <c r="F93" s="40"/>
      <c r="G93" s="40"/>
      <c r="H93" s="40"/>
      <c r="I93" s="40"/>
      <c r="J93" s="27"/>
      <c r="K93" s="40"/>
      <c r="L93" s="27"/>
      <c r="M93" s="40"/>
      <c r="N93" s="40"/>
      <c r="O93" s="40"/>
      <c r="P93" s="40"/>
      <c r="Q93" s="27"/>
      <c r="R93" s="40"/>
      <c r="S93" s="27"/>
      <c r="T93" s="27"/>
      <c r="U93" s="40"/>
      <c r="V93" s="40"/>
      <c r="W93" s="40"/>
      <c r="X93" s="27"/>
      <c r="Y93" s="40"/>
      <c r="Z93" s="39"/>
      <c r="AA93" s="40"/>
      <c r="AB93" s="40"/>
      <c r="AC93" s="40"/>
      <c r="AD93" s="40"/>
      <c r="AE93" s="27"/>
      <c r="AF93" s="40"/>
      <c r="AG93" s="205" t="str">
        <f t="shared" si="34"/>
        <v>Unpaid leave</v>
      </c>
      <c r="AH93" s="218"/>
      <c r="AI93" s="238">
        <f t="shared" si="32"/>
        <v>0</v>
      </c>
      <c r="AJ93" s="261"/>
      <c r="AK93" s="262"/>
      <c r="AL93" s="245">
        <f ca="1">IF(EB.Anwendung&lt;&gt;"",IF(MONTH(Monat.Tag1)=1,0,IF(MONTH(Monat.Tag1)=2,January!Monat.UnbesUrlaubUeVM,IF(MONTH(Monat.Tag1)=3,February!Monat.UnbesUrlaubUeVM,IF(MONTH(Monat.Tag1)=4,March!Monat.UnbesUrlaubUeVM,IF(MONTH(Monat.Tag1)=5,April!Monat.UnbesUrlaubUeVM,IF(MONTH(Monat.Tag1)=6,May!Monat.UnbesUrlaubUeVM,IF(MONTH(Monat.Tag1)=7,June!Monat.UnbesUrlaubUeVM,IF(MONTH(Monat.Tag1)=8,July!Monat.UnbesUrlaubUeVM,IF(MONTH(Monat.Tag1)=9,August!Monat.UnbesUrlaubUeVM,IF(MONTH(Monat.Tag1)=10,September!Monat.UnbesUrlaubUeVM,IF(MONTH(Monat.Tag1)=11,October!Monat.UnbesUrlaubUeVM,IF(MONTH(Monat.Tag1)=12,November!Monat.UnbesUrlaubUeVM,"")))))))))))),"")</f>
        <v>0</v>
      </c>
      <c r="AM93" s="209"/>
      <c r="AN93" s="246">
        <f t="shared" ca="1" si="35"/>
        <v>0</v>
      </c>
      <c r="AO93" s="208"/>
      <c r="AP93" s="208"/>
      <c r="AQ93" s="119"/>
    </row>
    <row r="94" spans="1:43" s="38" customFormat="1" ht="15" hidden="1" customHeight="1" outlineLevel="1" x14ac:dyDescent="0.2">
      <c r="A94" s="212" t="s">
        <v>120</v>
      </c>
      <c r="B94" s="40"/>
      <c r="C94" s="40"/>
      <c r="D94" s="40"/>
      <c r="E94" s="27"/>
      <c r="F94" s="40"/>
      <c r="G94" s="40"/>
      <c r="H94" s="40"/>
      <c r="I94" s="40"/>
      <c r="J94" s="27"/>
      <c r="K94" s="40"/>
      <c r="L94" s="27"/>
      <c r="M94" s="40"/>
      <c r="N94" s="40"/>
      <c r="O94" s="40"/>
      <c r="P94" s="40"/>
      <c r="Q94" s="27"/>
      <c r="R94" s="40"/>
      <c r="S94" s="27"/>
      <c r="T94" s="27"/>
      <c r="U94" s="40"/>
      <c r="V94" s="40"/>
      <c r="W94" s="40"/>
      <c r="X94" s="27"/>
      <c r="Y94" s="40"/>
      <c r="Z94" s="39"/>
      <c r="AA94" s="40"/>
      <c r="AB94" s="40"/>
      <c r="AC94" s="40"/>
      <c r="AD94" s="40"/>
      <c r="AE94" s="27"/>
      <c r="AF94" s="40"/>
      <c r="AG94" s="205" t="str">
        <f t="shared" si="34"/>
        <v>Secondary employment</v>
      </c>
      <c r="AH94" s="218"/>
      <c r="AI94" s="238">
        <f t="shared" si="32"/>
        <v>0</v>
      </c>
      <c r="AJ94" s="261"/>
      <c r="AK94" s="262"/>
      <c r="AL94" s="245">
        <f ca="1">IF(EB.Anwendung&lt;&gt;"",IF(MONTH(Monat.Tag1)=1,0,IF(MONTH(Monat.Tag1)=2,January!Monat.NBUeVM,IF(MONTH(Monat.Tag1)=3,February!Monat.NBUeVM,IF(MONTH(Monat.Tag1)=4,March!Monat.NBUeVM,IF(MONTH(Monat.Tag1)=5,April!Monat.NBUeVM,IF(MONTH(Monat.Tag1)=6,May!Monat.NBUeVM,IF(MONTH(Monat.Tag1)=7,June!Monat.NBUeVM,IF(MONTH(Monat.Tag1)=8,July!Monat.NBUeVM,IF(MONTH(Monat.Tag1)=9,August!Monat.NBUeVM,IF(MONTH(Monat.Tag1)=10,September!Monat.NBUeVM,IF(MONTH(Monat.Tag1)=11,October!Monat.NBUeVM,IF(MONTH(Monat.Tag1)=12,November!Monat.NBUeVM,"")))))))))))),"")</f>
        <v>0</v>
      </c>
      <c r="AM94" s="209"/>
      <c r="AN94" s="246">
        <f t="shared" ca="1" si="35"/>
        <v>0</v>
      </c>
      <c r="AO94" s="208"/>
      <c r="AP94" s="208"/>
      <c r="AQ94" s="119"/>
    </row>
    <row r="95" spans="1:43" s="38" customFormat="1" ht="15" customHeight="1" collapsed="1" x14ac:dyDescent="0.2">
      <c r="A95" s="212" t="s">
        <v>56</v>
      </c>
      <c r="B95" s="40"/>
      <c r="C95" s="40"/>
      <c r="D95" s="40"/>
      <c r="E95" s="27"/>
      <c r="F95" s="40"/>
      <c r="G95" s="40"/>
      <c r="H95" s="40"/>
      <c r="I95" s="40"/>
      <c r="J95" s="27"/>
      <c r="K95" s="40"/>
      <c r="L95" s="27"/>
      <c r="M95" s="40"/>
      <c r="N95" s="40"/>
      <c r="O95" s="40"/>
      <c r="P95" s="40"/>
      <c r="Q95" s="27"/>
      <c r="R95" s="40"/>
      <c r="S95" s="27"/>
      <c r="T95" s="27"/>
      <c r="U95" s="40"/>
      <c r="V95" s="40"/>
      <c r="W95" s="40"/>
      <c r="X95" s="27"/>
      <c r="Y95" s="40"/>
      <c r="Z95" s="39"/>
      <c r="AA95" s="40"/>
      <c r="AB95" s="40"/>
      <c r="AC95" s="40"/>
      <c r="AD95" s="40"/>
      <c r="AE95" s="27"/>
      <c r="AF95" s="40"/>
      <c r="AG95" s="205" t="str">
        <f t="shared" si="34"/>
        <v>Seniority allowance</v>
      </c>
      <c r="AH95" s="218"/>
      <c r="AI95" s="238">
        <f t="shared" si="32"/>
        <v>0</v>
      </c>
      <c r="AJ95" s="261"/>
      <c r="AK95" s="262"/>
      <c r="AL95" s="245">
        <f ca="1">IF(EB.Anwendung&lt;&gt;"",IF(MONTH(Monat.Tag1)=1,EB.DAG,IF(MONTH(Monat.Tag1)=2,January!Monat.DAGUeVM,IF(MONTH(Monat.Tag1)=3,February!Monat.DAGUeVM,IF(MONTH(Monat.Tag1)=4,March!Monat.DAGUeVM,IF(MONTH(Monat.Tag1)=5,April!Monat.DAGUeVM,IF(MONTH(Monat.Tag1)=6,May!Monat.DAGUeVM,IF(MONTH(Monat.Tag1)=7,June!Monat.DAGUeVM,IF(MONTH(Monat.Tag1)=8,July!Monat.DAGUeVM,IF(MONTH(Monat.Tag1)=9,August!Monat.DAGUeVM,IF(MONTH(Monat.Tag1)=10,September!Monat.DAGUeVM,IF(MONTH(Monat.Tag1)=11,October!Monat.DAGUeVM,IF(MONTH(Monat.Tag1)=12,November!Monat.DAGUeVM,"")))))))))))),"")</f>
        <v>0</v>
      </c>
      <c r="AM95" s="209"/>
      <c r="AN95" s="246">
        <f ca="1">AL95-AI95</f>
        <v>0</v>
      </c>
      <c r="AO95" s="208"/>
      <c r="AP95" s="208"/>
      <c r="AQ95" s="119"/>
    </row>
    <row r="96" spans="1:43" s="38" customFormat="1" ht="11.25" customHeight="1" x14ac:dyDescent="0.2">
      <c r="A96" s="220"/>
      <c r="B96" s="223"/>
      <c r="C96" s="223"/>
      <c r="D96" s="223"/>
      <c r="E96" s="223"/>
      <c r="F96" s="223"/>
      <c r="G96" s="223"/>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23"/>
      <c r="AF96" s="224"/>
      <c r="AG96" s="205"/>
      <c r="AH96" s="228"/>
      <c r="AI96" s="224"/>
      <c r="AJ96" s="278"/>
      <c r="AK96" s="262"/>
      <c r="AL96" s="262"/>
      <c r="AM96" s="209"/>
      <c r="AN96" s="279"/>
      <c r="AO96" s="213"/>
      <c r="AP96" s="213"/>
      <c r="AQ96" s="119"/>
    </row>
    <row r="97" spans="1:43" s="38" customFormat="1" ht="15" customHeight="1" x14ac:dyDescent="0.2">
      <c r="A97" s="215" t="str">
        <f t="shared" ref="A97:A111" ca="1" si="36">IF(ROW(A97)-ROW(INDEX(Monat.Projekte.Zeilen,1))+1&gt;EB.AnzProjekte,"",OFFSET(EB.Projekte.Knoten,ROW(A97)-ROW(INDEX(Monat.Projekte.Zeilen,1))+1,0,1,1))</f>
        <v/>
      </c>
      <c r="B97" s="40"/>
      <c r="C97" s="40"/>
      <c r="D97" s="40"/>
      <c r="E97" s="27"/>
      <c r="F97" s="40"/>
      <c r="G97" s="40"/>
      <c r="H97" s="40"/>
      <c r="I97" s="40"/>
      <c r="J97" s="27"/>
      <c r="K97" s="40"/>
      <c r="L97" s="27"/>
      <c r="M97" s="40"/>
      <c r="N97" s="40"/>
      <c r="O97" s="40"/>
      <c r="P97" s="40"/>
      <c r="Q97" s="27"/>
      <c r="R97" s="40"/>
      <c r="S97" s="27"/>
      <c r="T97" s="27"/>
      <c r="U97" s="40"/>
      <c r="V97" s="40"/>
      <c r="W97" s="40"/>
      <c r="X97" s="27"/>
      <c r="Y97" s="40"/>
      <c r="Z97" s="39"/>
      <c r="AA97" s="40"/>
      <c r="AB97" s="40"/>
      <c r="AC97" s="40"/>
      <c r="AD97" s="40"/>
      <c r="AE97" s="27"/>
      <c r="AF97" s="40"/>
      <c r="AG97" s="205" t="str">
        <f t="shared" ca="1" si="34"/>
        <v/>
      </c>
      <c r="AH97" s="233"/>
      <c r="AI97" s="285">
        <f>SUM(B97:AF97)</f>
        <v>0</v>
      </c>
      <c r="AJ97" s="261"/>
      <c r="AK97" s="224"/>
      <c r="AL97" s="245">
        <f ca="1">IF(EB.Anwendung&lt;&gt;"",IF(MONTH(Monat.Tag1)=1,0,IF(MONTH(Monat.Tag1)=2,January!Monat.P1UeVM,IF(MONTH(Monat.Tag1)=3,February!Monat.P1UeVM,IF(MONTH(Monat.Tag1)=4,March!Monat.P1UeVM,IF(MONTH(Monat.Tag1)=5,April!Monat.P1UeVM,IF(MONTH(Monat.Tag1)=6,May!Monat.P1UeVM,IF(MONTH(Monat.Tag1)=7,June!Monat.P1UeVM,IF(MONTH(Monat.Tag1)=8,July!Monat.P1UeVM,IF(MONTH(Monat.Tag1)=9,August!Monat.P1UeVM,IF(MONTH(Monat.Tag1)=10,September!Monat.P1UeVM,IF(MONTH(Monat.Tag1)=11,October!Monat.P1UeVM,IF(MONTH(Monat.Tag1)=12,November!Monat.P1UeVM,"")))))))))))),"")</f>
        <v>0</v>
      </c>
      <c r="AM97" s="209"/>
      <c r="AN97" s="246">
        <f t="shared" ref="AN97:AN112" ca="1" si="37">AI97+AL97</f>
        <v>0</v>
      </c>
      <c r="AO97" s="208"/>
      <c r="AP97" s="208"/>
      <c r="AQ97" s="119"/>
    </row>
    <row r="98" spans="1:43" s="38" customFormat="1" ht="15" customHeight="1" x14ac:dyDescent="0.2">
      <c r="A98" s="215" t="str">
        <f t="shared" ca="1" si="36"/>
        <v/>
      </c>
      <c r="B98" s="40"/>
      <c r="C98" s="40"/>
      <c r="D98" s="40"/>
      <c r="E98" s="27"/>
      <c r="F98" s="40"/>
      <c r="G98" s="40"/>
      <c r="H98" s="40"/>
      <c r="I98" s="40"/>
      <c r="J98" s="27"/>
      <c r="K98" s="40"/>
      <c r="L98" s="27"/>
      <c r="M98" s="40"/>
      <c r="N98" s="40"/>
      <c r="O98" s="40"/>
      <c r="P98" s="40"/>
      <c r="Q98" s="27"/>
      <c r="R98" s="40"/>
      <c r="S98" s="27"/>
      <c r="T98" s="27"/>
      <c r="U98" s="40"/>
      <c r="V98" s="40"/>
      <c r="W98" s="40"/>
      <c r="X98" s="27"/>
      <c r="Y98" s="40"/>
      <c r="Z98" s="39"/>
      <c r="AA98" s="40"/>
      <c r="AB98" s="40"/>
      <c r="AC98" s="40"/>
      <c r="AD98" s="40"/>
      <c r="AE98" s="27"/>
      <c r="AF98" s="40"/>
      <c r="AG98" s="205" t="str">
        <f t="shared" ca="1" si="34"/>
        <v/>
      </c>
      <c r="AH98" s="218"/>
      <c r="AI98" s="238">
        <f>SUM(B98:AF98)</f>
        <v>0</v>
      </c>
      <c r="AJ98" s="261"/>
      <c r="AK98" s="224"/>
      <c r="AL98" s="245">
        <f ca="1">IF(EB.Anwendung&lt;&gt;"",IF(MONTH(Monat.Tag1)=1,0,IF(MONTH(Monat.Tag1)=2,January!Monat.P2UeVM,IF(MONTH(Monat.Tag1)=3,February!Monat.P2UeVM,IF(MONTH(Monat.Tag1)=4,March!Monat.P2UeVM,IF(MONTH(Monat.Tag1)=5,April!Monat.P2UeVM,IF(MONTH(Monat.Tag1)=6,May!Monat.P2UeVM,IF(MONTH(Monat.Tag1)=7,June!Monat.P2UeVM,IF(MONTH(Monat.Tag1)=8,July!Monat.P2UeVM,IF(MONTH(Monat.Tag1)=9,August!Monat.P2UeVM,IF(MONTH(Monat.Tag1)=10,September!Monat.P2UeVM,IF(MONTH(Monat.Tag1)=11,October!Monat.P2UeVM,IF(MONTH(Monat.Tag1)=12,November!Monat.P2UeVM,"")))))))))))),"")</f>
        <v>0</v>
      </c>
      <c r="AM98" s="209"/>
      <c r="AN98" s="246">
        <f t="shared" ca="1" si="37"/>
        <v>0</v>
      </c>
      <c r="AO98" s="208"/>
      <c r="AP98" s="208"/>
      <c r="AQ98" s="119"/>
    </row>
    <row r="99" spans="1:43" s="38" customFormat="1" ht="15" customHeight="1" x14ac:dyDescent="0.2">
      <c r="A99" s="215" t="str">
        <f t="shared" ca="1" si="36"/>
        <v/>
      </c>
      <c r="B99" s="40"/>
      <c r="C99" s="40"/>
      <c r="D99" s="40"/>
      <c r="E99" s="27"/>
      <c r="F99" s="40"/>
      <c r="G99" s="40"/>
      <c r="H99" s="40"/>
      <c r="I99" s="40"/>
      <c r="J99" s="27"/>
      <c r="K99" s="40"/>
      <c r="L99" s="27"/>
      <c r="M99" s="40"/>
      <c r="N99" s="40"/>
      <c r="O99" s="40"/>
      <c r="P99" s="40"/>
      <c r="Q99" s="27"/>
      <c r="R99" s="40"/>
      <c r="S99" s="27"/>
      <c r="T99" s="27"/>
      <c r="U99" s="40"/>
      <c r="V99" s="40"/>
      <c r="W99" s="40"/>
      <c r="X99" s="27"/>
      <c r="Y99" s="40"/>
      <c r="Z99" s="39"/>
      <c r="AA99" s="40"/>
      <c r="AB99" s="40"/>
      <c r="AC99" s="40"/>
      <c r="AD99" s="40"/>
      <c r="AE99" s="27"/>
      <c r="AF99" s="40"/>
      <c r="AG99" s="205" t="str">
        <f t="shared" ca="1" si="34"/>
        <v/>
      </c>
      <c r="AH99" s="286"/>
      <c r="AI99" s="238">
        <f>SUM(B99:AF99)</f>
        <v>0</v>
      </c>
      <c r="AJ99" s="261"/>
      <c r="AK99" s="224"/>
      <c r="AL99" s="245">
        <f ca="1">IF(EB.Anwendung&lt;&gt;"",IF(MONTH(Monat.Tag1)=1,0,IF(MONTH(Monat.Tag1)=2,January!Monat.P3UeVM,IF(MONTH(Monat.Tag1)=3,February!Monat.P3UeVM,IF(MONTH(Monat.Tag1)=4,March!Monat.P3UeVM,IF(MONTH(Monat.Tag1)=5,April!Monat.P3UeVM,IF(MONTH(Monat.Tag1)=6,May!Monat.P3UeVM,IF(MONTH(Monat.Tag1)=7,June!Monat.P3UeVM,IF(MONTH(Monat.Tag1)=8,July!Monat.P3UeVM,IF(MONTH(Monat.Tag1)=9,August!Monat.P3UeVM,IF(MONTH(Monat.Tag1)=10,September!Monat.P3UeVM,IF(MONTH(Monat.Tag1)=11,October!Monat.P3UeVM,IF(MONTH(Monat.Tag1)=12,November!Monat.P3UeVM,"")))))))))))),"")</f>
        <v>0</v>
      </c>
      <c r="AM99" s="209"/>
      <c r="AN99" s="246">
        <f t="shared" ca="1" si="37"/>
        <v>0</v>
      </c>
      <c r="AO99" s="208"/>
      <c r="AP99" s="208"/>
      <c r="AQ99" s="119"/>
    </row>
    <row r="100" spans="1:43" s="38" customFormat="1" ht="15" customHeight="1" x14ac:dyDescent="0.2">
      <c r="A100" s="215" t="str">
        <f t="shared" ca="1" si="36"/>
        <v/>
      </c>
      <c r="B100" s="40"/>
      <c r="C100" s="40"/>
      <c r="D100" s="40"/>
      <c r="E100" s="27"/>
      <c r="F100" s="40"/>
      <c r="G100" s="40"/>
      <c r="H100" s="40"/>
      <c r="I100" s="40"/>
      <c r="J100" s="27"/>
      <c r="K100" s="40"/>
      <c r="L100" s="27"/>
      <c r="M100" s="40"/>
      <c r="N100" s="40"/>
      <c r="O100" s="40"/>
      <c r="P100" s="40"/>
      <c r="Q100" s="27"/>
      <c r="R100" s="40"/>
      <c r="S100" s="27"/>
      <c r="T100" s="27"/>
      <c r="U100" s="40"/>
      <c r="V100" s="40"/>
      <c r="W100" s="40"/>
      <c r="X100" s="27"/>
      <c r="Y100" s="40"/>
      <c r="Z100" s="39"/>
      <c r="AA100" s="40"/>
      <c r="AB100" s="40"/>
      <c r="AC100" s="40"/>
      <c r="AD100" s="40"/>
      <c r="AE100" s="27"/>
      <c r="AF100" s="40"/>
      <c r="AG100" s="205" t="str">
        <f t="shared" ca="1" si="34"/>
        <v/>
      </c>
      <c r="AH100" s="228"/>
      <c r="AI100" s="238">
        <f t="shared" ref="AI100:AI112" si="38">SUM(B100:AF100)</f>
        <v>0</v>
      </c>
      <c r="AJ100" s="261"/>
      <c r="AK100" s="224"/>
      <c r="AL100" s="245">
        <f ca="1">IF(EB.Anwendung&lt;&gt;"",IF(MONTH(Monat.Tag1)=1,0,IF(MONTH(Monat.Tag1)=2,January!Monat.P4UeVM,IF(MONTH(Monat.Tag1)=3,February!Monat.P4UeVM,IF(MONTH(Monat.Tag1)=4,March!Monat.P4UeVM,IF(MONTH(Monat.Tag1)=5,April!Monat.P4UeVM,IF(MONTH(Monat.Tag1)=6,May!Monat.P4UeVM,IF(MONTH(Monat.Tag1)=7,June!Monat.P4UeVM,IF(MONTH(Monat.Tag1)=8,July!Monat.P4UeVM,IF(MONTH(Monat.Tag1)=9,August!Monat.P4UeVM,IF(MONTH(Monat.Tag1)=10,September!Monat.P4UeVM,IF(MONTH(Monat.Tag1)=11,October!Monat.P4UeVM,IF(MONTH(Monat.Tag1)=12,November!Monat.P4UeVM,"")))))))))))),"")</f>
        <v>0</v>
      </c>
      <c r="AM100" s="209"/>
      <c r="AN100" s="246">
        <f t="shared" ca="1" si="37"/>
        <v>0</v>
      </c>
      <c r="AO100" s="208"/>
      <c r="AP100" s="208"/>
      <c r="AQ100" s="119"/>
    </row>
    <row r="101" spans="1:43" s="38" customFormat="1" ht="15" customHeight="1" x14ac:dyDescent="0.2">
      <c r="A101" s="215" t="str">
        <f t="shared" ca="1" si="36"/>
        <v/>
      </c>
      <c r="B101" s="40"/>
      <c r="C101" s="40"/>
      <c r="D101" s="40"/>
      <c r="E101" s="27"/>
      <c r="F101" s="40"/>
      <c r="G101" s="40"/>
      <c r="H101" s="40"/>
      <c r="I101" s="40"/>
      <c r="J101" s="27"/>
      <c r="K101" s="40"/>
      <c r="L101" s="27"/>
      <c r="M101" s="40"/>
      <c r="N101" s="40"/>
      <c r="O101" s="40"/>
      <c r="P101" s="40"/>
      <c r="Q101" s="27"/>
      <c r="R101" s="40"/>
      <c r="S101" s="27"/>
      <c r="T101" s="27"/>
      <c r="U101" s="40"/>
      <c r="V101" s="40"/>
      <c r="W101" s="40"/>
      <c r="X101" s="27"/>
      <c r="Y101" s="40"/>
      <c r="Z101" s="39"/>
      <c r="AA101" s="40"/>
      <c r="AB101" s="40"/>
      <c r="AC101" s="40"/>
      <c r="AD101" s="40"/>
      <c r="AE101" s="27"/>
      <c r="AF101" s="40"/>
      <c r="AG101" s="205" t="str">
        <f t="shared" ca="1" si="34"/>
        <v/>
      </c>
      <c r="AH101" s="218"/>
      <c r="AI101" s="238">
        <f t="shared" si="38"/>
        <v>0</v>
      </c>
      <c r="AJ101" s="261"/>
      <c r="AK101" s="224"/>
      <c r="AL101" s="245">
        <f ca="1">IF(EB.Anwendung&lt;&gt;"",IF(MONTH(Monat.Tag1)=1,0,IF(MONTH(Monat.Tag1)=2,January!Monat.P5UeVM,IF(MONTH(Monat.Tag1)=3,February!Monat.P5UeVM,IF(MONTH(Monat.Tag1)=4,March!Monat.P5UeVM,IF(MONTH(Monat.Tag1)=5,April!Monat.P5UeVM,IF(MONTH(Monat.Tag1)=6,May!Monat.P5UeVM,IF(MONTH(Monat.Tag1)=7,June!Monat.P5UeVM,IF(MONTH(Monat.Tag1)=8,July!Monat.P5UeVM,IF(MONTH(Monat.Tag1)=9,August!Monat.P5UeVM,IF(MONTH(Monat.Tag1)=10,September!Monat.P5UeVM,IF(MONTH(Monat.Tag1)=11,October!Monat.P5UeVM,IF(MONTH(Monat.Tag1)=12,November!Monat.P5UeVM,"")))))))))))),"")</f>
        <v>0</v>
      </c>
      <c r="AM101" s="209"/>
      <c r="AN101" s="246">
        <f t="shared" ca="1" si="37"/>
        <v>0</v>
      </c>
      <c r="AO101" s="208"/>
      <c r="AP101" s="208"/>
      <c r="AQ101" s="119"/>
    </row>
    <row r="102" spans="1:43" s="38" customFormat="1" ht="15" hidden="1" customHeight="1" outlineLevel="1" x14ac:dyDescent="0.2">
      <c r="A102" s="215" t="str">
        <f t="shared" ca="1" si="36"/>
        <v/>
      </c>
      <c r="B102" s="40"/>
      <c r="C102" s="40"/>
      <c r="D102" s="40"/>
      <c r="E102" s="27"/>
      <c r="F102" s="40"/>
      <c r="G102" s="40"/>
      <c r="H102" s="40"/>
      <c r="I102" s="40"/>
      <c r="J102" s="27"/>
      <c r="K102" s="40"/>
      <c r="L102" s="27"/>
      <c r="M102" s="40"/>
      <c r="N102" s="40"/>
      <c r="O102" s="40"/>
      <c r="P102" s="40"/>
      <c r="Q102" s="27"/>
      <c r="R102" s="40"/>
      <c r="S102" s="27"/>
      <c r="T102" s="27"/>
      <c r="U102" s="40"/>
      <c r="V102" s="40"/>
      <c r="W102" s="40"/>
      <c r="X102" s="27"/>
      <c r="Y102" s="40"/>
      <c r="Z102" s="39"/>
      <c r="AA102" s="40"/>
      <c r="AB102" s="40"/>
      <c r="AC102" s="40"/>
      <c r="AD102" s="40"/>
      <c r="AE102" s="27"/>
      <c r="AF102" s="40"/>
      <c r="AG102" s="205" t="str">
        <f t="shared" ca="1" si="34"/>
        <v/>
      </c>
      <c r="AH102" s="286"/>
      <c r="AI102" s="238">
        <f t="shared" si="38"/>
        <v>0</v>
      </c>
      <c r="AJ102" s="261"/>
      <c r="AK102" s="224"/>
      <c r="AL102" s="245">
        <f ca="1">IF(EB.Anwendung&lt;&gt;"",IF(MONTH(Monat.Tag1)=1,0,IF(MONTH(Monat.Tag1)=2,January!Monat.P6UeVM,IF(MONTH(Monat.Tag1)=3,February!Monat.P6UeVM,IF(MONTH(Monat.Tag1)=4,March!Monat.P6UeVM,IF(MONTH(Monat.Tag1)=5,April!Monat.P6UeVM,IF(MONTH(Monat.Tag1)=6,May!Monat.P6UeVM,IF(MONTH(Monat.Tag1)=7,June!Monat.P6UeVM,IF(MONTH(Monat.Tag1)=8,July!Monat.P6UeVM,IF(MONTH(Monat.Tag1)=9,August!Monat.P6UeVM,IF(MONTH(Monat.Tag1)=10,September!Monat.P6UeVM,IF(MONTH(Monat.Tag1)=11,October!Monat.P6UeVM,IF(MONTH(Monat.Tag1)=12,November!Monat.P6UeVM,"")))))))))))),"")</f>
        <v>0</v>
      </c>
      <c r="AM102" s="209"/>
      <c r="AN102" s="246">
        <f t="shared" ca="1" si="37"/>
        <v>0</v>
      </c>
      <c r="AO102" s="208"/>
      <c r="AP102" s="208"/>
      <c r="AQ102" s="119"/>
    </row>
    <row r="103" spans="1:43" s="38" customFormat="1" ht="15" hidden="1" customHeight="1" outlineLevel="1" x14ac:dyDescent="0.2">
      <c r="A103" s="215" t="str">
        <f t="shared" ca="1" si="36"/>
        <v/>
      </c>
      <c r="B103" s="40"/>
      <c r="C103" s="40"/>
      <c r="D103" s="40"/>
      <c r="E103" s="27"/>
      <c r="F103" s="40"/>
      <c r="G103" s="40"/>
      <c r="H103" s="40"/>
      <c r="I103" s="40"/>
      <c r="J103" s="27"/>
      <c r="K103" s="40"/>
      <c r="L103" s="27"/>
      <c r="M103" s="40"/>
      <c r="N103" s="40"/>
      <c r="O103" s="40"/>
      <c r="P103" s="40"/>
      <c r="Q103" s="27"/>
      <c r="R103" s="40"/>
      <c r="S103" s="27"/>
      <c r="T103" s="27"/>
      <c r="U103" s="40"/>
      <c r="V103" s="40"/>
      <c r="W103" s="40"/>
      <c r="X103" s="27"/>
      <c r="Y103" s="40"/>
      <c r="Z103" s="39"/>
      <c r="AA103" s="40"/>
      <c r="AB103" s="40"/>
      <c r="AC103" s="40"/>
      <c r="AD103" s="40"/>
      <c r="AE103" s="27"/>
      <c r="AF103" s="40"/>
      <c r="AG103" s="205" t="str">
        <f ca="1">A103</f>
        <v/>
      </c>
      <c r="AH103" s="228"/>
      <c r="AI103" s="238">
        <f>SUM(B103:AF103)</f>
        <v>0</v>
      </c>
      <c r="AJ103" s="261"/>
      <c r="AK103" s="224"/>
      <c r="AL103" s="245">
        <f ca="1">IF(EB.Anwendung&lt;&gt;"",IF(MONTH(Monat.Tag1)=1,0,IF(MONTH(Monat.Tag1)=2,January!Monat.P7UeVM,IF(MONTH(Monat.Tag1)=3,February!Monat.P7UeVM,IF(MONTH(Monat.Tag1)=4,March!Monat.P7UeVM,IF(MONTH(Monat.Tag1)=5,April!Monat.P7UeVM,IF(MONTH(Monat.Tag1)=6,May!Monat.P7UeVM,IF(MONTH(Monat.Tag1)=7,June!Monat.P7UeVM,IF(MONTH(Monat.Tag1)=8,July!Monat.P7UeVM,IF(MONTH(Monat.Tag1)=9,August!Monat.P7UeVM,IF(MONTH(Monat.Tag1)=10,September!Monat.P7UeVM,IF(MONTH(Monat.Tag1)=11,October!Monat.P7UeVM,IF(MONTH(Monat.Tag1)=12,November!Monat.P7UeVM,"")))))))))))),"")</f>
        <v>0</v>
      </c>
      <c r="AM103" s="209"/>
      <c r="AN103" s="246">
        <f t="shared" ca="1" si="37"/>
        <v>0</v>
      </c>
      <c r="AO103" s="208"/>
      <c r="AP103" s="208"/>
      <c r="AQ103" s="119"/>
    </row>
    <row r="104" spans="1:43" s="38" customFormat="1" ht="15" hidden="1" customHeight="1" outlineLevel="1" x14ac:dyDescent="0.2">
      <c r="A104" s="215" t="str">
        <f t="shared" ca="1" si="36"/>
        <v/>
      </c>
      <c r="B104" s="40"/>
      <c r="C104" s="40"/>
      <c r="D104" s="40"/>
      <c r="E104" s="27"/>
      <c r="F104" s="40"/>
      <c r="G104" s="40"/>
      <c r="H104" s="40"/>
      <c r="I104" s="40"/>
      <c r="J104" s="27"/>
      <c r="K104" s="40"/>
      <c r="L104" s="27"/>
      <c r="M104" s="40"/>
      <c r="N104" s="40"/>
      <c r="O104" s="40"/>
      <c r="P104" s="40"/>
      <c r="Q104" s="27"/>
      <c r="R104" s="40"/>
      <c r="S104" s="27"/>
      <c r="T104" s="27"/>
      <c r="U104" s="40"/>
      <c r="V104" s="40"/>
      <c r="W104" s="40"/>
      <c r="X104" s="27"/>
      <c r="Y104" s="40"/>
      <c r="Z104" s="39"/>
      <c r="AA104" s="40"/>
      <c r="AB104" s="40"/>
      <c r="AC104" s="40"/>
      <c r="AD104" s="40"/>
      <c r="AE104" s="27"/>
      <c r="AF104" s="40"/>
      <c r="AG104" s="205" t="str">
        <f t="shared" ca="1" si="34"/>
        <v/>
      </c>
      <c r="AH104" s="233"/>
      <c r="AI104" s="238">
        <f t="shared" si="38"/>
        <v>0</v>
      </c>
      <c r="AJ104" s="261"/>
      <c r="AK104" s="224"/>
      <c r="AL104" s="245">
        <f ca="1">IF(EB.Anwendung&lt;&gt;"",IF(MONTH(Monat.Tag1)=1,0,IF(MONTH(Monat.Tag1)=2,January!Monat.P8UeVM,IF(MONTH(Monat.Tag1)=3,February!Monat.P8UeVM,IF(MONTH(Monat.Tag1)=4,March!Monat.P8UeVM,IF(MONTH(Monat.Tag1)=5,April!Monat.P8UeVM,IF(MONTH(Monat.Tag1)=6,May!Monat.P8UeVM,IF(MONTH(Monat.Tag1)=7,June!Monat.P8UeVM,IF(MONTH(Monat.Tag1)=8,July!Monat.P8UeVM,IF(MONTH(Monat.Tag1)=9,August!Monat.P8UeVM,IF(MONTH(Monat.Tag1)=10,September!Monat.P8UeVM,IF(MONTH(Monat.Tag1)=11,October!Monat.P8UeVM,IF(MONTH(Monat.Tag1)=12,November!Monat.P8UeVM,"")))))))))))),"")</f>
        <v>0</v>
      </c>
      <c r="AM104" s="209"/>
      <c r="AN104" s="246">
        <f t="shared" ca="1" si="37"/>
        <v>0</v>
      </c>
      <c r="AO104" s="208"/>
      <c r="AP104" s="208"/>
      <c r="AQ104" s="119"/>
    </row>
    <row r="105" spans="1:43" s="38" customFormat="1" ht="15" hidden="1" customHeight="1" outlineLevel="1" x14ac:dyDescent="0.2">
      <c r="A105" s="215" t="str">
        <f t="shared" ca="1" si="36"/>
        <v/>
      </c>
      <c r="B105" s="40"/>
      <c r="C105" s="40"/>
      <c r="D105" s="40"/>
      <c r="E105" s="27"/>
      <c r="F105" s="40"/>
      <c r="G105" s="40"/>
      <c r="H105" s="40"/>
      <c r="I105" s="40"/>
      <c r="J105" s="27"/>
      <c r="K105" s="40"/>
      <c r="L105" s="27"/>
      <c r="M105" s="40"/>
      <c r="N105" s="40"/>
      <c r="O105" s="40"/>
      <c r="P105" s="40"/>
      <c r="Q105" s="27"/>
      <c r="R105" s="40"/>
      <c r="S105" s="27"/>
      <c r="T105" s="27"/>
      <c r="U105" s="40"/>
      <c r="V105" s="40"/>
      <c r="W105" s="40"/>
      <c r="X105" s="27"/>
      <c r="Y105" s="40"/>
      <c r="Z105" s="39"/>
      <c r="AA105" s="40"/>
      <c r="AB105" s="40"/>
      <c r="AC105" s="40"/>
      <c r="AD105" s="40"/>
      <c r="AE105" s="27"/>
      <c r="AF105" s="40"/>
      <c r="AG105" s="205" t="str">
        <f t="shared" ca="1" si="34"/>
        <v/>
      </c>
      <c r="AH105" s="218"/>
      <c r="AI105" s="238">
        <f t="shared" si="38"/>
        <v>0</v>
      </c>
      <c r="AJ105" s="261"/>
      <c r="AK105" s="224"/>
      <c r="AL105" s="245">
        <f ca="1">IF(EB.Anwendung&lt;&gt;"",IF(MONTH(Monat.Tag1)=1,0,IF(MONTH(Monat.Tag1)=2,January!Monat.P9UeVM,IF(MONTH(Monat.Tag1)=3,February!Monat.P9UeVM,IF(MONTH(Monat.Tag1)=4,March!Monat.P9UeVM,IF(MONTH(Monat.Tag1)=5,April!Monat.P9UeVM,IF(MONTH(Monat.Tag1)=6,May!Monat.P9UeVM,IF(MONTH(Monat.Tag1)=7,June!Monat.P9UeVM,IF(MONTH(Monat.Tag1)=8,July!Monat.P9UeVM,IF(MONTH(Monat.Tag1)=9,August!Monat.P9UeVM,IF(MONTH(Monat.Tag1)=10,September!Monat.P9UeVM,IF(MONTH(Monat.Tag1)=11,October!Monat.P9UeVM,IF(MONTH(Monat.Tag1)=12,November!Monat.P9UeVM,"")))))))))))),"")</f>
        <v>0</v>
      </c>
      <c r="AM105" s="209"/>
      <c r="AN105" s="246">
        <f t="shared" ca="1" si="37"/>
        <v>0</v>
      </c>
      <c r="AO105" s="208"/>
      <c r="AP105" s="208"/>
      <c r="AQ105" s="119"/>
    </row>
    <row r="106" spans="1:43" s="38" customFormat="1" ht="15" hidden="1" customHeight="1" outlineLevel="1" x14ac:dyDescent="0.2">
      <c r="A106" s="215" t="str">
        <f t="shared" ca="1" si="36"/>
        <v/>
      </c>
      <c r="B106" s="40"/>
      <c r="C106" s="40"/>
      <c r="D106" s="40"/>
      <c r="E106" s="27"/>
      <c r="F106" s="40"/>
      <c r="G106" s="40"/>
      <c r="H106" s="40"/>
      <c r="I106" s="40"/>
      <c r="J106" s="27"/>
      <c r="K106" s="40"/>
      <c r="L106" s="27"/>
      <c r="M106" s="40"/>
      <c r="N106" s="40"/>
      <c r="O106" s="40"/>
      <c r="P106" s="40"/>
      <c r="Q106" s="27"/>
      <c r="R106" s="40"/>
      <c r="S106" s="27"/>
      <c r="T106" s="27"/>
      <c r="U106" s="40"/>
      <c r="V106" s="40"/>
      <c r="W106" s="40"/>
      <c r="X106" s="27"/>
      <c r="Y106" s="40"/>
      <c r="Z106" s="39"/>
      <c r="AA106" s="40"/>
      <c r="AB106" s="40"/>
      <c r="AC106" s="40"/>
      <c r="AD106" s="40"/>
      <c r="AE106" s="27"/>
      <c r="AF106" s="40"/>
      <c r="AG106" s="205" t="str">
        <f t="shared" ca="1" si="34"/>
        <v/>
      </c>
      <c r="AH106" s="218"/>
      <c r="AI106" s="238">
        <f t="shared" si="38"/>
        <v>0</v>
      </c>
      <c r="AJ106" s="261"/>
      <c r="AK106" s="224"/>
      <c r="AL106" s="245">
        <f ca="1">IF(EB.Anwendung&lt;&gt;"",IF(MONTH(Monat.Tag1)=1,0,IF(MONTH(Monat.Tag1)=2,January!Monat.P10UeVM,IF(MONTH(Monat.Tag1)=3,February!Monat.P10UeVM,IF(MONTH(Monat.Tag1)=4,March!Monat.P10UeVM,IF(MONTH(Monat.Tag1)=5,April!Monat.P10UeVM,IF(MONTH(Monat.Tag1)=6,May!Monat.P10UeVM,IF(MONTH(Monat.Tag1)=7,June!Monat.P10UeVM,IF(MONTH(Monat.Tag1)=8,July!Monat.P10UeVM,IF(MONTH(Monat.Tag1)=9,August!Monat.P10UeVM,IF(MONTH(Monat.Tag1)=10,September!Monat.P10UeVM,IF(MONTH(Monat.Tag1)=11,October!Monat.P10UeVM,IF(MONTH(Monat.Tag1)=12,November!Monat.P10UeVM,"")))))))))))),"")</f>
        <v>0</v>
      </c>
      <c r="AM106" s="209"/>
      <c r="AN106" s="246">
        <f t="shared" ca="1" si="37"/>
        <v>0</v>
      </c>
      <c r="AO106" s="208"/>
      <c r="AP106" s="208"/>
      <c r="AQ106" s="119"/>
    </row>
    <row r="107" spans="1:43" s="38" customFormat="1" ht="15" hidden="1" customHeight="1" outlineLevel="1" x14ac:dyDescent="0.2">
      <c r="A107" s="215" t="str">
        <f t="shared" ca="1" si="36"/>
        <v/>
      </c>
      <c r="B107" s="40"/>
      <c r="C107" s="40"/>
      <c r="D107" s="40"/>
      <c r="E107" s="27"/>
      <c r="F107" s="40"/>
      <c r="G107" s="40"/>
      <c r="H107" s="40"/>
      <c r="I107" s="40"/>
      <c r="J107" s="27"/>
      <c r="K107" s="40"/>
      <c r="L107" s="27"/>
      <c r="M107" s="40"/>
      <c r="N107" s="40"/>
      <c r="O107" s="40"/>
      <c r="P107" s="40"/>
      <c r="Q107" s="27"/>
      <c r="R107" s="40"/>
      <c r="S107" s="27"/>
      <c r="T107" s="27"/>
      <c r="U107" s="40"/>
      <c r="V107" s="40"/>
      <c r="W107" s="40"/>
      <c r="X107" s="27"/>
      <c r="Y107" s="40"/>
      <c r="Z107" s="39"/>
      <c r="AA107" s="40"/>
      <c r="AB107" s="40"/>
      <c r="AC107" s="40"/>
      <c r="AD107" s="40"/>
      <c r="AE107" s="27"/>
      <c r="AF107" s="40"/>
      <c r="AG107" s="205" t="str">
        <f ca="1">A107</f>
        <v/>
      </c>
      <c r="AH107" s="233"/>
      <c r="AI107" s="238">
        <f t="shared" si="38"/>
        <v>0</v>
      </c>
      <c r="AJ107" s="261"/>
      <c r="AK107" s="224"/>
      <c r="AL107" s="245">
        <f ca="1">IF(EB.Anwendung&lt;&gt;"",IF(MONTH(Monat.Tag1)=1,0,IF(MONTH(Monat.Tag1)=2,January!Monat.P11UeVM,IF(MONTH(Monat.Tag1)=3,February!Monat.P11UeVM,IF(MONTH(Monat.Tag1)=4,March!Monat.P11UeVM,IF(MONTH(Monat.Tag1)=5,April!Monat.P11UeVM,IF(MONTH(Monat.Tag1)=6,May!Monat.P11UeVM,IF(MONTH(Monat.Tag1)=7,June!Monat.P11UeVM,IF(MONTH(Monat.Tag1)=8,July!Monat.P11UeVM,IF(MONTH(Monat.Tag1)=9,August!Monat.P11UeVM,IF(MONTH(Monat.Tag1)=10,September!Monat.P11UeVM,IF(MONTH(Monat.Tag1)=11,October!Monat.P11UeVM,IF(MONTH(Monat.Tag1)=12,November!Monat.P11UeVM,"")))))))))))),"")</f>
        <v>0</v>
      </c>
      <c r="AM107" s="209"/>
      <c r="AN107" s="246">
        <f t="shared" ca="1" si="37"/>
        <v>0</v>
      </c>
      <c r="AO107" s="287"/>
      <c r="AP107" s="287"/>
      <c r="AQ107" s="119"/>
    </row>
    <row r="108" spans="1:43" s="49" customFormat="1" ht="15" hidden="1" customHeight="1" outlineLevel="1" x14ac:dyDescent="0.2">
      <c r="A108" s="215" t="str">
        <f t="shared" ca="1" si="36"/>
        <v/>
      </c>
      <c r="B108" s="40"/>
      <c r="C108" s="40"/>
      <c r="D108" s="40"/>
      <c r="E108" s="27"/>
      <c r="F108" s="40"/>
      <c r="G108" s="40"/>
      <c r="H108" s="40"/>
      <c r="I108" s="40"/>
      <c r="J108" s="27"/>
      <c r="K108" s="40"/>
      <c r="L108" s="27"/>
      <c r="M108" s="40"/>
      <c r="N108" s="40"/>
      <c r="O108" s="40"/>
      <c r="P108" s="40"/>
      <c r="Q108" s="27"/>
      <c r="R108" s="40"/>
      <c r="S108" s="27"/>
      <c r="T108" s="27"/>
      <c r="U108" s="40"/>
      <c r="V108" s="40"/>
      <c r="W108" s="40"/>
      <c r="X108" s="27"/>
      <c r="Y108" s="40"/>
      <c r="Z108" s="39"/>
      <c r="AA108" s="40"/>
      <c r="AB108" s="40"/>
      <c r="AC108" s="40"/>
      <c r="AD108" s="40"/>
      <c r="AE108" s="27"/>
      <c r="AF108" s="40"/>
      <c r="AG108" s="205" t="str">
        <f t="shared" ca="1" si="34"/>
        <v/>
      </c>
      <c r="AH108" s="233"/>
      <c r="AI108" s="238">
        <f t="shared" si="38"/>
        <v>0</v>
      </c>
      <c r="AJ108" s="261"/>
      <c r="AK108" s="224"/>
      <c r="AL108" s="245">
        <f ca="1">IF(EB.Anwendung&lt;&gt;"",IF(MONTH(Monat.Tag1)=1,0,IF(MONTH(Monat.Tag1)=2,January!Monat.P12UeVM,IF(MONTH(Monat.Tag1)=3,February!Monat.P12UeVM,IF(MONTH(Monat.Tag1)=4,March!Monat.P12UeVM,IF(MONTH(Monat.Tag1)=5,April!Monat.P12UeVM,IF(MONTH(Monat.Tag1)=6,May!Monat.P12UeVM,IF(MONTH(Monat.Tag1)=7,June!Monat.P12UeVM,IF(MONTH(Monat.Tag1)=8,July!Monat.P12UeVM,IF(MONTH(Monat.Tag1)=9,August!Monat.P12UeVM,IF(MONTH(Monat.Tag1)=10,September!Monat.P12UeVM,IF(MONTH(Monat.Tag1)=11,October!Monat.P12UeVM,IF(MONTH(Monat.Tag1)=12,November!Monat.P12UeVM,"")))))))))))),"")</f>
        <v>0</v>
      </c>
      <c r="AM108" s="209"/>
      <c r="AN108" s="246">
        <f t="shared" ca="1" si="37"/>
        <v>0</v>
      </c>
      <c r="AO108" s="287"/>
      <c r="AP108" s="287"/>
      <c r="AQ108" s="288"/>
    </row>
    <row r="109" spans="1:43" s="49" customFormat="1" ht="15" hidden="1" customHeight="1" outlineLevel="1" x14ac:dyDescent="0.2">
      <c r="A109" s="215" t="str">
        <f t="shared" ca="1" si="36"/>
        <v/>
      </c>
      <c r="B109" s="40"/>
      <c r="C109" s="40"/>
      <c r="D109" s="40"/>
      <c r="E109" s="27"/>
      <c r="F109" s="40"/>
      <c r="G109" s="40"/>
      <c r="H109" s="40"/>
      <c r="I109" s="40"/>
      <c r="J109" s="27"/>
      <c r="K109" s="40"/>
      <c r="L109" s="27"/>
      <c r="M109" s="40"/>
      <c r="N109" s="40"/>
      <c r="O109" s="40"/>
      <c r="P109" s="40"/>
      <c r="Q109" s="27"/>
      <c r="R109" s="40"/>
      <c r="S109" s="27"/>
      <c r="T109" s="27"/>
      <c r="U109" s="40"/>
      <c r="V109" s="40"/>
      <c r="W109" s="40"/>
      <c r="X109" s="27"/>
      <c r="Y109" s="40"/>
      <c r="Z109" s="39"/>
      <c r="AA109" s="40"/>
      <c r="AB109" s="40"/>
      <c r="AC109" s="40"/>
      <c r="AD109" s="40"/>
      <c r="AE109" s="27"/>
      <c r="AF109" s="40"/>
      <c r="AG109" s="205" t="str">
        <f t="shared" ca="1" si="34"/>
        <v/>
      </c>
      <c r="AH109" s="218"/>
      <c r="AI109" s="238">
        <f t="shared" si="38"/>
        <v>0</v>
      </c>
      <c r="AJ109" s="261"/>
      <c r="AK109" s="224"/>
      <c r="AL109" s="245">
        <f ca="1">IF(EB.Anwendung&lt;&gt;"",IF(MONTH(Monat.Tag1)=1,0,IF(MONTH(Monat.Tag1)=2,January!Monat.P13UeVM,IF(MONTH(Monat.Tag1)=3,February!Monat.P13UeVM,IF(MONTH(Monat.Tag1)=4,March!Monat.P13UeVM,IF(MONTH(Monat.Tag1)=5,April!Monat.P13UeVM,IF(MONTH(Monat.Tag1)=6,May!Monat.P13UeVM,IF(MONTH(Monat.Tag1)=7,June!Monat.P13UeVM,IF(MONTH(Monat.Tag1)=8,July!Monat.P13UeVM,IF(MONTH(Monat.Tag1)=9,August!Monat.P13UeVM,IF(MONTH(Monat.Tag1)=10,September!Monat.P13UeVM,IF(MONTH(Monat.Tag1)=11,October!Monat.P13UeVM,IF(MONTH(Monat.Tag1)=12,November!Monat.P13UeVM,"")))))))))))),"")</f>
        <v>0</v>
      </c>
      <c r="AM109" s="209"/>
      <c r="AN109" s="246">
        <f t="shared" ca="1" si="37"/>
        <v>0</v>
      </c>
      <c r="AO109" s="287"/>
      <c r="AP109" s="287"/>
      <c r="AQ109" s="288"/>
    </row>
    <row r="110" spans="1:43" ht="15" hidden="1" customHeight="1" outlineLevel="1" x14ac:dyDescent="0.2">
      <c r="A110" s="215" t="str">
        <f t="shared" ca="1" si="36"/>
        <v/>
      </c>
      <c r="B110" s="40"/>
      <c r="C110" s="40"/>
      <c r="D110" s="40"/>
      <c r="E110" s="27"/>
      <c r="F110" s="40"/>
      <c r="G110" s="40"/>
      <c r="H110" s="40"/>
      <c r="I110" s="40"/>
      <c r="J110" s="27"/>
      <c r="K110" s="40"/>
      <c r="L110" s="27"/>
      <c r="M110" s="40"/>
      <c r="N110" s="40"/>
      <c r="O110" s="40"/>
      <c r="P110" s="40"/>
      <c r="Q110" s="27"/>
      <c r="R110" s="40"/>
      <c r="S110" s="27"/>
      <c r="T110" s="27"/>
      <c r="U110" s="40"/>
      <c r="V110" s="40"/>
      <c r="W110" s="40"/>
      <c r="X110" s="27"/>
      <c r="Y110" s="40"/>
      <c r="Z110" s="39"/>
      <c r="AA110" s="40"/>
      <c r="AB110" s="40"/>
      <c r="AC110" s="40"/>
      <c r="AD110" s="40"/>
      <c r="AE110" s="27"/>
      <c r="AF110" s="40"/>
      <c r="AG110" s="205" t="str">
        <f t="shared" ca="1" si="34"/>
        <v/>
      </c>
      <c r="AH110" s="218"/>
      <c r="AI110" s="238">
        <f t="shared" si="38"/>
        <v>0</v>
      </c>
      <c r="AJ110" s="261"/>
      <c r="AK110" s="224"/>
      <c r="AL110" s="245">
        <f ca="1">IF(EB.Anwendung&lt;&gt;"",IF(MONTH(Monat.Tag1)=1,0,IF(MONTH(Monat.Tag1)=2,January!Monat.P14UeVM,IF(MONTH(Monat.Tag1)=3,February!Monat.P14UeVM,IF(MONTH(Monat.Tag1)=4,March!Monat.P14UeVM,IF(MONTH(Monat.Tag1)=5,April!Monat.P14UeVM,IF(MONTH(Monat.Tag1)=6,May!Monat.P14UeVM,IF(MONTH(Monat.Tag1)=7,June!Monat.P14UeVM,IF(MONTH(Monat.Tag1)=8,July!Monat.P14UeVM,IF(MONTH(Monat.Tag1)=9,August!Monat.P14UeVM,IF(MONTH(Monat.Tag1)=10,September!Monat.P14UeVM,IF(MONTH(Monat.Tag1)=11,October!Monat.P14UeVM,IF(MONTH(Monat.Tag1)=12,November!Monat.P14UeVM,"")))))))))))),"")</f>
        <v>0</v>
      </c>
      <c r="AM110" s="209"/>
      <c r="AN110" s="246">
        <f t="shared" ca="1" si="37"/>
        <v>0</v>
      </c>
      <c r="AO110" s="287"/>
      <c r="AP110" s="287"/>
      <c r="AQ110" s="123"/>
    </row>
    <row r="111" spans="1:43" ht="15" hidden="1" customHeight="1" outlineLevel="1" x14ac:dyDescent="0.2">
      <c r="A111" s="215" t="str">
        <f t="shared" ca="1" si="36"/>
        <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7"/>
      <c r="AA111" s="40"/>
      <c r="AB111" s="40"/>
      <c r="AC111" s="40"/>
      <c r="AD111" s="40"/>
      <c r="AE111" s="40"/>
      <c r="AF111" s="40"/>
      <c r="AG111" s="205" t="str">
        <f t="shared" ca="1" si="34"/>
        <v/>
      </c>
      <c r="AH111" s="218"/>
      <c r="AI111" s="238">
        <f t="shared" si="38"/>
        <v>0</v>
      </c>
      <c r="AJ111" s="261"/>
      <c r="AK111" s="224"/>
      <c r="AL111" s="245">
        <f ca="1">IF(EB.Anwendung&lt;&gt;"",IF(MONTH(Monat.Tag1)=1,0,IF(MONTH(Monat.Tag1)=2,January!Monat.P15UeVM,IF(MONTH(Monat.Tag1)=3,February!Monat.P15UeVM,IF(MONTH(Monat.Tag1)=4,March!Monat.P15UeVM,IF(MONTH(Monat.Tag1)=5,April!Monat.P15UeVM,IF(MONTH(Monat.Tag1)=6,May!Monat.P15UeVM,IF(MONTH(Monat.Tag1)=7,June!Monat.P15UeVM,IF(MONTH(Monat.Tag1)=8,July!Monat.P15UeVM,IF(MONTH(Monat.Tag1)=9,August!Monat.P15UeVM,IF(MONTH(Monat.Tag1)=10,September!Monat.P15UeVM,IF(MONTH(Monat.Tag1)=11,October!Monat.P15UeVM,IF(MONTH(Monat.Tag1)=12,November!Monat.P15UeVM,"")))))))))))),"")</f>
        <v>0</v>
      </c>
      <c r="AM111" s="209"/>
      <c r="AN111" s="246">
        <f t="shared" ca="1" si="37"/>
        <v>0</v>
      </c>
      <c r="AO111" s="287"/>
      <c r="AP111" s="287"/>
      <c r="AQ111" s="123"/>
    </row>
    <row r="112" spans="1:43" ht="15" customHeight="1" collapsed="1" x14ac:dyDescent="0.2">
      <c r="A112" s="215" t="s">
        <v>168</v>
      </c>
      <c r="B112" s="236">
        <f>SUM(B97:B111)</f>
        <v>0</v>
      </c>
      <c r="C112" s="236">
        <f t="shared" ref="C112:AF112" si="39">SUM(C97:C111)</f>
        <v>0</v>
      </c>
      <c r="D112" s="236">
        <f t="shared" si="39"/>
        <v>0</v>
      </c>
      <c r="E112" s="236">
        <f t="shared" si="39"/>
        <v>0</v>
      </c>
      <c r="F112" s="236">
        <f t="shared" si="39"/>
        <v>0</v>
      </c>
      <c r="G112" s="236">
        <f t="shared" si="39"/>
        <v>0</v>
      </c>
      <c r="H112" s="236">
        <f t="shared" si="39"/>
        <v>0</v>
      </c>
      <c r="I112" s="236">
        <f t="shared" si="39"/>
        <v>0</v>
      </c>
      <c r="J112" s="236">
        <f t="shared" si="39"/>
        <v>0</v>
      </c>
      <c r="K112" s="236">
        <f t="shared" si="39"/>
        <v>0</v>
      </c>
      <c r="L112" s="236">
        <f t="shared" si="39"/>
        <v>0</v>
      </c>
      <c r="M112" s="236">
        <f t="shared" si="39"/>
        <v>0</v>
      </c>
      <c r="N112" s="236">
        <f t="shared" si="39"/>
        <v>0</v>
      </c>
      <c r="O112" s="236">
        <f t="shared" si="39"/>
        <v>0</v>
      </c>
      <c r="P112" s="236">
        <f t="shared" si="39"/>
        <v>0</v>
      </c>
      <c r="Q112" s="236">
        <f t="shared" si="39"/>
        <v>0</v>
      </c>
      <c r="R112" s="236">
        <f t="shared" si="39"/>
        <v>0</v>
      </c>
      <c r="S112" s="236">
        <f t="shared" si="39"/>
        <v>0</v>
      </c>
      <c r="T112" s="236">
        <f t="shared" si="39"/>
        <v>0</v>
      </c>
      <c r="U112" s="236">
        <f t="shared" si="39"/>
        <v>0</v>
      </c>
      <c r="V112" s="236">
        <f t="shared" si="39"/>
        <v>0</v>
      </c>
      <c r="W112" s="236">
        <f t="shared" si="39"/>
        <v>0</v>
      </c>
      <c r="X112" s="236">
        <f t="shared" si="39"/>
        <v>0</v>
      </c>
      <c r="Y112" s="236">
        <f t="shared" si="39"/>
        <v>0</v>
      </c>
      <c r="Z112" s="236">
        <f t="shared" si="39"/>
        <v>0</v>
      </c>
      <c r="AA112" s="236">
        <f t="shared" si="39"/>
        <v>0</v>
      </c>
      <c r="AB112" s="236">
        <f t="shared" si="39"/>
        <v>0</v>
      </c>
      <c r="AC112" s="236">
        <f t="shared" si="39"/>
        <v>0</v>
      </c>
      <c r="AD112" s="236">
        <f t="shared" si="39"/>
        <v>0</v>
      </c>
      <c r="AE112" s="236">
        <f t="shared" si="39"/>
        <v>0</v>
      </c>
      <c r="AF112" s="236">
        <f t="shared" si="39"/>
        <v>0</v>
      </c>
      <c r="AG112" s="217" t="str">
        <f t="shared" si="34"/>
        <v>Hours worked for projects</v>
      </c>
      <c r="AH112" s="218"/>
      <c r="AI112" s="238">
        <f t="shared" si="38"/>
        <v>0</v>
      </c>
      <c r="AJ112" s="261"/>
      <c r="AK112" s="224"/>
      <c r="AL112" s="245">
        <f ca="1">IF(EB.Anwendung&lt;&gt;"",IF(MONTH(Monat.Tag1)=1,0,IF(MONTH(Monat.Tag1)=2,January!Monat.PTotalUeVM,IF(MONTH(Monat.Tag1)=3,February!Monat.PTotalUeVM,IF(MONTH(Monat.Tag1)=4,March!Monat.PTotalUeVM,IF(MONTH(Monat.Tag1)=5,April!Monat.PTotalUeVM,IF(MONTH(Monat.Tag1)=6,May!Monat.PTotalUeVM,IF(MONTH(Monat.Tag1)=7,June!Monat.PTotalUeVM,IF(MONTH(Monat.Tag1)=8,July!Monat.PTotalUeVM,IF(MONTH(Monat.Tag1)=9,August!Monat.PTotalUeVM,IF(MONTH(Monat.Tag1)=10,September!Monat.PTotalUeVM,IF(MONTH(Monat.Tag1)=11,October!Monat.PTotalUeVM,IF(MONTH(Monat.Tag1)=12,November!Monat.PTotalUeVM,"")))))))))))),"")</f>
        <v>0</v>
      </c>
      <c r="AM112" s="209"/>
      <c r="AN112" s="246">
        <f t="shared" ca="1" si="37"/>
        <v>0</v>
      </c>
      <c r="AO112" s="289"/>
      <c r="AP112" s="289"/>
      <c r="AQ112" s="123"/>
    </row>
    <row r="113" spans="1:43" s="38" customFormat="1" ht="11.25" customHeight="1" x14ac:dyDescent="0.2">
      <c r="A113" s="290"/>
      <c r="B113" s="226"/>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91"/>
      <c r="AH113" s="286"/>
      <c r="AI113" s="226"/>
      <c r="AJ113" s="292"/>
      <c r="AK113" s="226"/>
      <c r="AL113" s="226"/>
      <c r="AM113" s="226"/>
      <c r="AN113" s="130"/>
      <c r="AO113" s="226"/>
      <c r="AP113" s="226"/>
      <c r="AQ113" s="119"/>
    </row>
    <row r="114" spans="1:43" s="38" customFormat="1" ht="15" hidden="1" customHeight="1" outlineLevel="1" x14ac:dyDescent="0.2">
      <c r="A114" s="215" t="s">
        <v>225</v>
      </c>
      <c r="B114" s="241">
        <f t="shared" ref="B114:AF114" si="40">ROUND(((B23+B45+B91)-SUMPRODUCT((B97:B111)*(EB.Projektart.Bereich=6)))*1440,0)/1440</f>
        <v>0</v>
      </c>
      <c r="C114" s="241">
        <f t="shared" si="40"/>
        <v>0</v>
      </c>
      <c r="D114" s="241">
        <f t="shared" si="40"/>
        <v>0</v>
      </c>
      <c r="E114" s="241">
        <f t="shared" si="40"/>
        <v>0</v>
      </c>
      <c r="F114" s="241">
        <f t="shared" si="40"/>
        <v>0</v>
      </c>
      <c r="G114" s="241">
        <f t="shared" si="40"/>
        <v>0</v>
      </c>
      <c r="H114" s="241">
        <f t="shared" si="40"/>
        <v>0</v>
      </c>
      <c r="I114" s="241">
        <f t="shared" si="40"/>
        <v>0</v>
      </c>
      <c r="J114" s="241">
        <f t="shared" si="40"/>
        <v>0</v>
      </c>
      <c r="K114" s="241">
        <f t="shared" si="40"/>
        <v>0</v>
      </c>
      <c r="L114" s="241">
        <f t="shared" si="40"/>
        <v>0</v>
      </c>
      <c r="M114" s="241">
        <f t="shared" si="40"/>
        <v>0</v>
      </c>
      <c r="N114" s="241">
        <f t="shared" si="40"/>
        <v>0</v>
      </c>
      <c r="O114" s="241">
        <f t="shared" si="40"/>
        <v>0</v>
      </c>
      <c r="P114" s="241">
        <f t="shared" si="40"/>
        <v>0</v>
      </c>
      <c r="Q114" s="241">
        <f t="shared" si="40"/>
        <v>0</v>
      </c>
      <c r="R114" s="241">
        <f t="shared" si="40"/>
        <v>0</v>
      </c>
      <c r="S114" s="241">
        <f t="shared" si="40"/>
        <v>0</v>
      </c>
      <c r="T114" s="241">
        <f t="shared" si="40"/>
        <v>0</v>
      </c>
      <c r="U114" s="241">
        <f t="shared" si="40"/>
        <v>0</v>
      </c>
      <c r="V114" s="241">
        <f t="shared" si="40"/>
        <v>0</v>
      </c>
      <c r="W114" s="241">
        <f t="shared" si="40"/>
        <v>0</v>
      </c>
      <c r="X114" s="241">
        <f t="shared" si="40"/>
        <v>0</v>
      </c>
      <c r="Y114" s="241">
        <f t="shared" si="40"/>
        <v>0</v>
      </c>
      <c r="Z114" s="241">
        <f t="shared" si="40"/>
        <v>0</v>
      </c>
      <c r="AA114" s="241">
        <f t="shared" si="40"/>
        <v>0</v>
      </c>
      <c r="AB114" s="241">
        <f t="shared" si="40"/>
        <v>0</v>
      </c>
      <c r="AC114" s="241">
        <f t="shared" si="40"/>
        <v>0</v>
      </c>
      <c r="AD114" s="241">
        <f t="shared" si="40"/>
        <v>0</v>
      </c>
      <c r="AE114" s="241">
        <f t="shared" si="40"/>
        <v>0</v>
      </c>
      <c r="AF114" s="241">
        <f t="shared" si="40"/>
        <v>0</v>
      </c>
      <c r="AG114" s="217" t="str">
        <f t="shared" ref="AG114" si="41">A114</f>
        <v>Difference WH-Project type 6</v>
      </c>
      <c r="AH114" s="228"/>
      <c r="AI114" s="238">
        <f>SUM(B114:AF114)</f>
        <v>0</v>
      </c>
      <c r="AJ114" s="261"/>
      <c r="AK114" s="262"/>
      <c r="AL114" s="245">
        <f ca="1">IF(EB.Anwendung&lt;&gt;"",IF(MONTH(Monat.Tag1)=1,0,IF(MONTH(Monat.Tag1)=2,January!Monat.PDiffUeVM,IF(MONTH(Monat.Tag1)=3,February!Monat.PDiffUeVM,IF(MONTH(Monat.Tag1)=4,March!Monat.PDiffUeVM,IF(MONTH(Monat.Tag1)=5,April!Monat.PDiffUeVM,IF(MONTH(Monat.Tag1)=6,May!Monat.PDiffUeVM,IF(MONTH(Monat.Tag1)=7,June!Monat.PDiffUeVM,IF(MONTH(Monat.Tag1)=8,July!Monat.PDiffUeVM,IF(MONTH(Monat.Tag1)=9,August!Monat.PDiffUeVM,IF(MONTH(Monat.Tag1)=10,September!Monat.PDiffUeVM,IF(MONTH(Monat.Tag1)=11,October!Monat.PDiffUeVM,IF(MONTH(Monat.Tag1)=12,November!Monat.PDiffUeVM,"")))))))))))),"")</f>
        <v>0</v>
      </c>
      <c r="AM114" s="262"/>
      <c r="AN114" s="246">
        <f ca="1">AI114+AL114</f>
        <v>0</v>
      </c>
      <c r="AO114" s="262"/>
      <c r="AP114" s="262"/>
      <c r="AQ114" s="119"/>
    </row>
    <row r="115" spans="1:43" ht="11.25" hidden="1" customHeight="1" outlineLevel="1" x14ac:dyDescent="0.2">
      <c r="A115" s="123"/>
      <c r="B115" s="293"/>
      <c r="C115" s="293"/>
      <c r="D115" s="293"/>
      <c r="E115" s="293"/>
      <c r="F115" s="293"/>
      <c r="G115" s="293"/>
      <c r="H115" s="293"/>
      <c r="I115" s="293"/>
      <c r="J115" s="294"/>
      <c r="K115" s="293"/>
      <c r="L115" s="293"/>
      <c r="M115" s="293"/>
      <c r="N115" s="293"/>
      <c r="O115" s="293"/>
      <c r="P115" s="293"/>
      <c r="Q115" s="293"/>
      <c r="R115" s="293"/>
      <c r="S115" s="293"/>
      <c r="T115" s="293"/>
      <c r="U115" s="293"/>
      <c r="V115" s="293"/>
      <c r="W115" s="293"/>
      <c r="X115" s="293"/>
      <c r="Y115" s="293"/>
      <c r="Z115" s="293"/>
      <c r="AA115" s="293"/>
      <c r="AB115" s="293"/>
      <c r="AC115" s="293"/>
      <c r="AD115" s="293"/>
      <c r="AE115" s="293"/>
      <c r="AF115" s="293"/>
      <c r="AG115" s="295"/>
      <c r="AH115" s="296"/>
      <c r="AI115" s="123"/>
      <c r="AJ115" s="123"/>
      <c r="AK115" s="123"/>
      <c r="AL115" s="123"/>
      <c r="AM115" s="123"/>
      <c r="AN115" s="297"/>
      <c r="AO115" s="123"/>
      <c r="AP115" s="123"/>
      <c r="AQ115" s="123"/>
    </row>
    <row r="116" spans="1:43" ht="11.25" customHeight="1" collapsed="1" x14ac:dyDescent="0.2">
      <c r="A116" s="123"/>
      <c r="B116" s="293"/>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293"/>
      <c r="AA116" s="293"/>
      <c r="AB116" s="293"/>
      <c r="AC116" s="293"/>
      <c r="AD116" s="293"/>
      <c r="AE116" s="293"/>
      <c r="AF116" s="293"/>
      <c r="AG116" s="295"/>
      <c r="AH116" s="296"/>
      <c r="AI116" s="123"/>
      <c r="AJ116" s="123"/>
      <c r="AK116" s="123"/>
      <c r="AL116" s="123"/>
      <c r="AM116" s="123"/>
      <c r="AN116" s="297"/>
      <c r="AO116" s="123"/>
      <c r="AP116" s="123"/>
      <c r="AQ116" s="123"/>
    </row>
    <row r="117" spans="1:43" ht="12" customHeight="1" x14ac:dyDescent="0.2">
      <c r="A117" s="123"/>
      <c r="B117" s="490" t="s">
        <v>226</v>
      </c>
      <c r="C117" s="490"/>
      <c r="D117" s="490"/>
      <c r="E117" s="490"/>
      <c r="F117" s="490"/>
      <c r="G117" s="490"/>
      <c r="H117" s="490"/>
      <c r="I117" s="490"/>
      <c r="J117" s="490"/>
      <c r="K117" s="490"/>
      <c r="L117" s="490"/>
      <c r="M117" s="490"/>
      <c r="N117" s="490"/>
      <c r="O117" s="490"/>
      <c r="P117" s="490"/>
      <c r="Q117" s="490"/>
      <c r="R117" s="298"/>
      <c r="S117" s="298"/>
      <c r="T117" s="298"/>
      <c r="U117" s="298"/>
      <c r="V117" s="298"/>
      <c r="W117" s="298"/>
      <c r="X117" s="298"/>
      <c r="Y117" s="298"/>
      <c r="Z117" s="298"/>
      <c r="AA117" s="298"/>
      <c r="AB117" s="298"/>
      <c r="AC117" s="298"/>
      <c r="AD117" s="298"/>
      <c r="AE117" s="298"/>
      <c r="AF117" s="298"/>
      <c r="AG117" s="299"/>
      <c r="AH117" s="300"/>
      <c r="AI117" s="298"/>
      <c r="AJ117" s="298"/>
      <c r="AK117" s="298"/>
      <c r="AL117" s="298"/>
      <c r="AM117" s="298"/>
      <c r="AN117" s="301"/>
      <c r="AO117" s="288"/>
      <c r="AP117" s="288"/>
      <c r="AQ117" s="123"/>
    </row>
    <row r="118" spans="1:43" ht="11.25" customHeight="1" x14ac:dyDescent="0.2">
      <c r="A118" s="302"/>
      <c r="B118" s="302"/>
      <c r="C118" s="302"/>
      <c r="D118" s="302"/>
      <c r="E118" s="302"/>
      <c r="F118" s="302"/>
      <c r="G118" s="302"/>
      <c r="H118" s="302"/>
      <c r="I118" s="302"/>
      <c r="J118" s="302"/>
      <c r="K118" s="302"/>
      <c r="L118" s="302"/>
      <c r="M118" s="298"/>
      <c r="N118" s="298"/>
      <c r="O118" s="298"/>
      <c r="P118" s="298"/>
      <c r="Q118" s="298"/>
      <c r="R118" s="298"/>
      <c r="S118" s="298"/>
      <c r="T118" s="298"/>
      <c r="U118" s="298"/>
      <c r="V118" s="298"/>
      <c r="W118" s="298"/>
      <c r="X118" s="298"/>
      <c r="Y118" s="298"/>
      <c r="Z118" s="298"/>
      <c r="AA118" s="298"/>
      <c r="AB118" s="298"/>
      <c r="AC118" s="298"/>
      <c r="AD118" s="298"/>
      <c r="AE118" s="298"/>
      <c r="AF118" s="298"/>
      <c r="AG118" s="298"/>
      <c r="AH118" s="298"/>
      <c r="AI118" s="298"/>
      <c r="AJ118" s="298"/>
      <c r="AK118" s="298"/>
      <c r="AL118" s="298"/>
      <c r="AM118" s="298"/>
      <c r="AN118" s="298"/>
      <c r="AO118" s="298"/>
      <c r="AP118" s="298"/>
      <c r="AQ118" s="123"/>
    </row>
    <row r="119" spans="1:43" ht="39" customHeight="1" x14ac:dyDescent="0.2">
      <c r="A119" s="135" t="s">
        <v>227</v>
      </c>
      <c r="B119" s="491"/>
      <c r="C119" s="491"/>
      <c r="D119" s="491"/>
      <c r="E119" s="491"/>
      <c r="F119" s="491"/>
      <c r="G119" s="491"/>
      <c r="H119" s="491"/>
      <c r="I119" s="491"/>
      <c r="J119" s="491"/>
      <c r="K119" s="491"/>
      <c r="L119" s="491"/>
      <c r="M119" s="491"/>
      <c r="N119" s="491"/>
      <c r="O119" s="491"/>
      <c r="P119" s="491"/>
      <c r="Q119" s="491"/>
      <c r="R119" s="298"/>
      <c r="S119" s="298"/>
      <c r="T119" s="298"/>
      <c r="U119" s="298"/>
      <c r="V119" s="298"/>
      <c r="W119" s="298"/>
      <c r="X119" s="298"/>
      <c r="Y119" s="492"/>
      <c r="Z119" s="492"/>
      <c r="AA119" s="492"/>
      <c r="AB119" s="492"/>
      <c r="AC119" s="492"/>
      <c r="AD119" s="492"/>
      <c r="AE119" s="492"/>
      <c r="AF119" s="492"/>
      <c r="AG119" s="494" t="str">
        <f ca="1">IF(AG67&lt;&gt;Monat.KomAZText,AG67 &amp; CHAR(10),"") &amp;
IF(AG84&lt;&gt;Monat.FerienText,AG84,"")</f>
        <v/>
      </c>
      <c r="AH119" s="494"/>
      <c r="AI119" s="494"/>
      <c r="AJ119" s="494"/>
      <c r="AK119" s="494"/>
      <c r="AL119" s="494"/>
      <c r="AM119" s="494"/>
      <c r="AN119" s="494"/>
      <c r="AO119" s="494"/>
      <c r="AP119" s="494"/>
      <c r="AQ119" s="123"/>
    </row>
    <row r="120" spans="1:43" ht="12" customHeight="1" x14ac:dyDescent="0.2">
      <c r="A120" s="442" t="s">
        <v>228</v>
      </c>
      <c r="B120" s="495"/>
      <c r="C120" s="495"/>
      <c r="D120" s="495"/>
      <c r="E120" s="495"/>
      <c r="F120" s="495"/>
      <c r="G120" s="495"/>
      <c r="H120" s="495"/>
      <c r="I120" s="495"/>
      <c r="J120" s="495"/>
      <c r="K120" s="495"/>
      <c r="L120" s="495"/>
      <c r="M120" s="495"/>
      <c r="N120" s="495"/>
      <c r="O120" s="495"/>
      <c r="P120" s="495"/>
      <c r="Q120" s="495"/>
      <c r="R120" s="298"/>
      <c r="S120" s="298"/>
      <c r="T120" s="496" t="s">
        <v>234</v>
      </c>
      <c r="U120" s="496"/>
      <c r="V120" s="496"/>
      <c r="W120" s="496"/>
      <c r="X120" s="496"/>
      <c r="Y120" s="493"/>
      <c r="Z120" s="493"/>
      <c r="AA120" s="493"/>
      <c r="AB120" s="493"/>
      <c r="AC120" s="493"/>
      <c r="AD120" s="493"/>
      <c r="AE120" s="493"/>
      <c r="AF120" s="493"/>
      <c r="AG120" s="494"/>
      <c r="AH120" s="494"/>
      <c r="AI120" s="494"/>
      <c r="AJ120" s="494"/>
      <c r="AK120" s="494"/>
      <c r="AL120" s="494"/>
      <c r="AM120" s="494"/>
      <c r="AN120" s="494"/>
      <c r="AO120" s="494"/>
      <c r="AP120" s="494"/>
      <c r="AQ120" s="123"/>
    </row>
    <row r="121" spans="1:43" ht="11.25" customHeight="1" x14ac:dyDescent="0.2">
      <c r="A121" s="304"/>
      <c r="B121" s="305"/>
      <c r="C121" s="305"/>
      <c r="D121" s="305"/>
      <c r="E121" s="305"/>
      <c r="F121" s="305"/>
      <c r="G121" s="305"/>
      <c r="H121" s="305"/>
      <c r="I121" s="305"/>
      <c r="J121" s="305"/>
      <c r="K121" s="305"/>
      <c r="L121" s="305"/>
      <c r="M121" s="293"/>
      <c r="N121" s="293"/>
      <c r="O121" s="293"/>
      <c r="P121" s="293"/>
      <c r="Q121" s="293"/>
      <c r="R121" s="293"/>
      <c r="S121" s="298"/>
      <c r="T121" s="293"/>
      <c r="U121" s="293"/>
      <c r="V121" s="293"/>
      <c r="W121" s="293"/>
      <c r="X121" s="293"/>
      <c r="Y121" s="293"/>
      <c r="Z121" s="293"/>
      <c r="AA121" s="293"/>
      <c r="AB121" s="293"/>
      <c r="AC121" s="293"/>
      <c r="AD121" s="293"/>
      <c r="AE121" s="293"/>
      <c r="AF121" s="293"/>
      <c r="AG121" s="295"/>
      <c r="AH121" s="296"/>
      <c r="AI121" s="123"/>
      <c r="AJ121" s="123"/>
      <c r="AK121" s="123"/>
      <c r="AL121" s="123"/>
      <c r="AM121" s="123"/>
      <c r="AN121" s="297"/>
      <c r="AO121" s="123"/>
      <c r="AP121" s="123"/>
      <c r="AQ121" s="123"/>
    </row>
    <row r="122" spans="1:43" ht="12" customHeight="1" x14ac:dyDescent="0.2">
      <c r="A122" s="123"/>
      <c r="B122" s="482" t="s">
        <v>91</v>
      </c>
      <c r="C122" s="482"/>
      <c r="D122" s="482"/>
      <c r="E122" s="482"/>
      <c r="F122" s="482"/>
      <c r="G122" s="482"/>
      <c r="H122" s="482"/>
      <c r="I122" s="482"/>
      <c r="J122" s="482"/>
      <c r="K122" s="482"/>
      <c r="L122" s="482"/>
      <c r="M122" s="482"/>
      <c r="N122" s="482"/>
      <c r="O122" s="482"/>
      <c r="P122" s="482"/>
      <c r="Q122" s="482"/>
      <c r="R122" s="293"/>
      <c r="S122" s="293"/>
      <c r="T122" s="293"/>
      <c r="U122" s="293"/>
      <c r="V122" s="293"/>
      <c r="W122" s="293"/>
      <c r="X122" s="293"/>
      <c r="Y122" s="293"/>
      <c r="Z122" s="293"/>
      <c r="AA122" s="293"/>
      <c r="AB122" s="293"/>
      <c r="AC122" s="293"/>
      <c r="AD122" s="293"/>
      <c r="AE122" s="293"/>
      <c r="AF122" s="293"/>
      <c r="AG122" s="295"/>
      <c r="AH122" s="296"/>
      <c r="AI122" s="123"/>
      <c r="AJ122" s="123"/>
      <c r="AK122" s="123"/>
      <c r="AL122" s="123"/>
      <c r="AM122" s="123"/>
      <c r="AN122" s="297"/>
      <c r="AO122" s="123"/>
      <c r="AP122" s="123"/>
      <c r="AQ122" s="123"/>
    </row>
    <row r="123" spans="1:43" ht="11.25" customHeight="1" x14ac:dyDescent="0.2">
      <c r="A123" s="123"/>
      <c r="B123" s="293"/>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293"/>
      <c r="Z123" s="293"/>
      <c r="AA123" s="293"/>
      <c r="AB123" s="293"/>
      <c r="AC123" s="293"/>
      <c r="AD123" s="293"/>
      <c r="AE123" s="293"/>
      <c r="AF123" s="293"/>
      <c r="AG123" s="295"/>
      <c r="AH123" s="296"/>
      <c r="AI123" s="123"/>
      <c r="AJ123" s="123"/>
      <c r="AK123" s="123"/>
      <c r="AL123" s="123"/>
      <c r="AM123" s="123"/>
      <c r="AN123" s="297"/>
      <c r="AO123" s="123"/>
      <c r="AP123" s="123"/>
      <c r="AQ123" s="123"/>
    </row>
    <row r="124" spans="1:43" ht="11.25" customHeight="1" x14ac:dyDescent="0.2">
      <c r="A124" s="298"/>
      <c r="B124" s="298"/>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c r="AA124" s="298"/>
      <c r="AB124" s="298"/>
      <c r="AC124" s="298"/>
      <c r="AD124" s="298"/>
      <c r="AE124" s="298"/>
      <c r="AF124" s="298"/>
      <c r="AG124" s="298"/>
      <c r="AH124" s="298"/>
      <c r="AI124" s="298"/>
      <c r="AJ124" s="298"/>
      <c r="AK124" s="298"/>
      <c r="AL124" s="298"/>
      <c r="AM124" s="298"/>
      <c r="AN124" s="298"/>
      <c r="AO124" s="298"/>
      <c r="AP124" s="298"/>
      <c r="AQ124" s="123"/>
    </row>
    <row r="125" spans="1:43" x14ac:dyDescent="0.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row>
    <row r="126" spans="1:43"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row>
    <row r="127" spans="1:43"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row>
    <row r="128" spans="1:43" x14ac:dyDescent="0.2">
      <c r="AG128" s="50"/>
      <c r="AH128" s="50"/>
      <c r="AN128" s="50"/>
    </row>
    <row r="129" spans="33:40" x14ac:dyDescent="0.2">
      <c r="AG129" s="50"/>
      <c r="AH129" s="50"/>
      <c r="AN129" s="50"/>
    </row>
    <row r="130" spans="33:40" x14ac:dyDescent="0.2">
      <c r="AG130" s="50"/>
      <c r="AH130" s="50"/>
      <c r="AN130" s="50"/>
    </row>
    <row r="131" spans="33:40" x14ac:dyDescent="0.2">
      <c r="AG131" s="50"/>
      <c r="AH131" s="50"/>
      <c r="AN131" s="50"/>
    </row>
    <row r="132" spans="33:40" x14ac:dyDescent="0.2">
      <c r="AG132" s="50"/>
      <c r="AH132" s="50"/>
      <c r="AN132" s="50"/>
    </row>
    <row r="133" spans="33:40" x14ac:dyDescent="0.2">
      <c r="AG133" s="50"/>
      <c r="AH133" s="50"/>
      <c r="AN133" s="50"/>
    </row>
    <row r="134" spans="33:40" x14ac:dyDescent="0.2">
      <c r="AG134" s="50"/>
      <c r="AH134" s="50"/>
      <c r="AN134" s="50"/>
    </row>
    <row r="135" spans="33:40" x14ac:dyDescent="0.2">
      <c r="AG135" s="50"/>
      <c r="AH135" s="50"/>
      <c r="AN135" s="50"/>
    </row>
    <row r="136" spans="33:40" x14ac:dyDescent="0.2">
      <c r="AG136" s="50"/>
      <c r="AH136" s="50"/>
      <c r="AN136" s="50"/>
    </row>
    <row r="137" spans="33:40" x14ac:dyDescent="0.2">
      <c r="AG137" s="50"/>
      <c r="AH137" s="50"/>
      <c r="AN137" s="50"/>
    </row>
    <row r="138" spans="33:40" x14ac:dyDescent="0.2">
      <c r="AG138" s="50"/>
      <c r="AH138" s="50"/>
      <c r="AN138" s="50"/>
    </row>
    <row r="139" spans="33:40" x14ac:dyDescent="0.2">
      <c r="AG139" s="50"/>
      <c r="AH139" s="50"/>
      <c r="AN139" s="50"/>
    </row>
    <row r="140" spans="33:40" x14ac:dyDescent="0.2">
      <c r="AG140" s="50"/>
      <c r="AH140" s="50"/>
      <c r="AN140" s="50"/>
    </row>
  </sheetData>
  <sheetProtection sheet="1" objects="1" scenarios="1"/>
  <mergeCells count="26">
    <mergeCell ref="B6:E6"/>
    <mergeCell ref="F6:N6"/>
    <mergeCell ref="B1:L1"/>
    <mergeCell ref="AO1:AP1"/>
    <mergeCell ref="B2:E2"/>
    <mergeCell ref="F2:N2"/>
    <mergeCell ref="P2:U2"/>
    <mergeCell ref="B3:E3"/>
    <mergeCell ref="F3:N3"/>
    <mergeCell ref="P3:U3"/>
    <mergeCell ref="B4:E4"/>
    <mergeCell ref="F4:N4"/>
    <mergeCell ref="P4:U4"/>
    <mergeCell ref="B5:E5"/>
    <mergeCell ref="F5:N5"/>
    <mergeCell ref="B122:Q122"/>
    <mergeCell ref="B7:E7"/>
    <mergeCell ref="F7:N7"/>
    <mergeCell ref="AH10:AI10"/>
    <mergeCell ref="AO10:AP10"/>
    <mergeCell ref="B117:Q117"/>
    <mergeCell ref="B119:Q119"/>
    <mergeCell ref="Y119:AF120"/>
    <mergeCell ref="AG119:AP120"/>
    <mergeCell ref="B120:Q120"/>
    <mergeCell ref="T120:X120"/>
  </mergeCells>
  <conditionalFormatting sqref="B114:AF114 AI114">
    <cfRule type="expression" dxfId="84" priority="13">
      <formula>ABS(B$114)&gt;=ROUND(1/24/60,9)</formula>
    </cfRule>
  </conditionalFormatting>
  <conditionalFormatting sqref="B13:AF22 B34:AF44 B25:AF30 B60:AF61 B67:AF67 B71:AF72 B84:AF84 B86:AF95 B97:AF111">
    <cfRule type="expression" dxfId="83" priority="11">
      <formula>WEEKDAY(B$10,2)&gt;5</formula>
    </cfRule>
    <cfRule type="expression" dxfId="82" priority="12">
      <formula>AND(NOT(ISERROR(MATCH(B$10,T.Feiertage.Bereich,0))),OFFSET(T.Feiertage.Bereich,MATCH(B$10,T.Feiertage.Bereich,0)-1,1,1,1)&gt;0)</formula>
    </cfRule>
    <cfRule type="expression" dxfId="81" priority="14">
      <formula>B$11=0</formula>
    </cfRule>
  </conditionalFormatting>
  <conditionalFormatting sqref="AN60:AO60">
    <cfRule type="expression" dxfId="80" priority="19">
      <formula>AND(T.50_Vetsuisse,AN60&gt;=T.GrenzeAngÜZ50_Vetsuisse)</formula>
    </cfRule>
    <cfRule type="expression" dxfId="79" priority="20">
      <formula>AND(T.50_Vetsuisse,AN60&gt;T.GrenzeAngÜZ50_Vetsuisse*T.AngÜZ50_Vetsuisse_orange)</formula>
    </cfRule>
  </conditionalFormatting>
  <conditionalFormatting sqref="B56:AF56">
    <cfRule type="expression" dxfId="78" priority="5">
      <formula>AND(B$10&gt;TODAY(),EB.UJAustritt="")</formula>
    </cfRule>
    <cfRule type="expression" dxfId="77" priority="6">
      <formula>B$56&gt;99.99/24</formula>
    </cfRule>
    <cfRule type="expression" dxfId="76" priority="8">
      <formula>B$56&lt;99.99/24*-1</formula>
    </cfRule>
  </conditionalFormatting>
  <conditionalFormatting sqref="AO55:AP55">
    <cfRule type="cellIs" dxfId="75" priority="21" operator="greaterThan">
      <formula>1/24/60</formula>
    </cfRule>
    <cfRule type="expression" dxfId="74" priority="22">
      <formula>AND(AO55&lt;=1/24/60*-1,TODAY()&gt;=DATE(EB.Jahr,MONTH(12),DAY(31)))</formula>
    </cfRule>
  </conditionalFormatting>
  <conditionalFormatting sqref="B56:AF56 AI58">
    <cfRule type="expression" dxfId="73" priority="7">
      <formula>B$56&gt;1/24/60</formula>
    </cfRule>
    <cfRule type="expression" dxfId="72" priority="9">
      <formula>AND(B$56&lt;=1/24/60*-1,B$56)</formula>
    </cfRule>
  </conditionalFormatting>
  <conditionalFormatting sqref="B14:AF22 B36:AF44 B26:AF30">
    <cfRule type="expression" dxfId="71" priority="3">
      <formula>AND(B14&lt;B13,B14&lt;&gt;"")</formula>
    </cfRule>
  </conditionalFormatting>
  <conditionalFormatting sqref="B72:AF73">
    <cfRule type="expression" dxfId="70" priority="10">
      <formula>AND(T.50_Vetsuisse,OR(AND(B$72&lt;&gt;INDEX(T.JaNein.Bereich,1,1),B$72&lt;&gt;INDEX(T.JaNein.Bereich,2,1),B$73&lt;&gt;0,MOD(IFERROR(MATCH(1,B$13:B$22,0),1),2)=0),AND(B$72=INDEX(T.JaNein.Bereich,1,1),OR(B$73=0,MOD(IFERROR(MATCH(1,B$13:B$22,0),1),2)&lt;&gt;0))))</formula>
    </cfRule>
  </conditionalFormatting>
  <conditionalFormatting sqref="P4:U4">
    <cfRule type="expression" dxfId="69" priority="15">
      <formula>$P$4&lt;&gt;""</formula>
    </cfRule>
  </conditionalFormatting>
  <conditionalFormatting sqref="V4">
    <cfRule type="expression" dxfId="68" priority="16">
      <formula>$V$4&lt;&gt;""</formula>
    </cfRule>
  </conditionalFormatting>
  <conditionalFormatting sqref="AP60">
    <cfRule type="expression" dxfId="67" priority="23">
      <formula>AND(T.50_Vetsuisse,AP60&gt;=T.GrenzeAngÜZ50_Vetsuisse)</formula>
    </cfRule>
    <cfRule type="expression" dxfId="66" priority="24">
      <formula>AND(T.50_Vetsuisse,AP60&gt;T.GrenzeAngÜZ50_Vetsuisse*T.AngÜZ50_Vetsuisse_orange)</formula>
    </cfRule>
  </conditionalFormatting>
  <conditionalFormatting sqref="AJ72:AJ73">
    <cfRule type="expression" dxfId="65" priority="17">
      <formula>AND(T.50_Vetsuisse,$AJ$72&lt;&gt;$AJ$73)</formula>
    </cfRule>
    <cfRule type="expression" dxfId="64" priority="18">
      <formula>$AJ$72&gt;$AJ$73</formula>
    </cfRule>
  </conditionalFormatting>
  <conditionalFormatting sqref="B55:AF55">
    <cfRule type="expression" dxfId="63" priority="4">
      <formula>AND(B$10&lt;=TODAY(),B$55&lt;1/24/60*-1)</formula>
    </cfRule>
  </conditionalFormatting>
  <conditionalFormatting sqref="AG67 AG84">
    <cfRule type="expression" dxfId="62" priority="2">
      <formula>AG67&lt;&gt;A67</formula>
    </cfRule>
  </conditionalFormatting>
  <conditionalFormatting sqref="B67:AF67">
    <cfRule type="expression" dxfId="61" priority="1">
      <formula>AND(B66=0,B67&gt;0)</formula>
    </cfRule>
  </conditionalFormatting>
  <dataValidations count="2">
    <dataValidation type="list" allowBlank="1" showInputMessage="1" showErrorMessage="1" errorTitle="Start pl. night shift" error="Please choose a value from the drop-down list." sqref="B72:AF72" xr:uid="{10F84A5D-C6A9-4D42-85E6-E3F5290178F1}">
      <formula1>T.JaNein.Bereich</formula1>
    </dataValidation>
    <dataValidation type="list" allowBlank="1" showInputMessage="1" showErrorMessage="1" errorTitle="Pikett Bereitschaft" error="Bitte wählen Sie einen Wert aus der Liste." sqref="B34:AF34" xr:uid="{1ABF3D21-6CB7-486B-AB23-C9211B938106}">
      <formula1>T.Pikett.Bereich</formula1>
    </dataValidation>
  </dataValidations>
  <printOptions horizontalCentered="1"/>
  <pageMargins left="0.19685039370078741" right="0.19685039370078741" top="0.39370078740157483" bottom="0.39370078740157483" header="0.31496062992125984" footer="0.19685039370078741"/>
  <pageSetup paperSize="9" scale="30" orientation="landscape" horizontalDpi="4294967292" verticalDpi="4294967292" r:id="rId1"/>
  <headerFooter alignWithMargins="0">
    <oddFooter>&amp;L&amp;"Arial,Standard"&amp;11Monatsabrechnung &amp;A&amp;C&amp;"Arial,Standard"&amp;11&amp;D&amp;R&amp;"Arial,Standard"&amp;11&amp;P / &amp;N</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2FB73-63AE-4D15-ADB7-42B073619C09}">
  <sheetPr>
    <pageSetUpPr fitToPage="1"/>
  </sheetPr>
  <dimension ref="A1:AP140"/>
  <sheetViews>
    <sheetView showGridLines="0" zoomScale="85" zoomScaleNormal="85" zoomScalePageLayoutView="85" workbookViewId="0">
      <pane xSplit="1" ySplit="10" topLeftCell="B11" activePane="bottomRight" state="frozenSplit"/>
      <selection activeCell="Q8" sqref="Q8:AF11"/>
      <selection pane="topRight" activeCell="Q8" sqref="Q8:AF11"/>
      <selection pane="bottomLeft" activeCell="Q8" sqref="Q8:AF11"/>
      <selection pane="bottomRight" activeCell="B13" sqref="B13"/>
    </sheetView>
  </sheetViews>
  <sheetFormatPr baseColWidth="10" defaultColWidth="10.75" defaultRowHeight="12.75" outlineLevelRow="1" outlineLevelCol="1" x14ac:dyDescent="0.2"/>
  <cols>
    <col min="1" max="1" width="24.5" style="50" customWidth="1"/>
    <col min="2" max="31" width="5.75" style="50" customWidth="1"/>
    <col min="32" max="32" width="24.5" style="52" customWidth="1"/>
    <col min="33" max="33" width="2.125" style="53" customWidth="1"/>
    <col min="34" max="35" width="8.125" style="50" customWidth="1"/>
    <col min="36" max="36" width="15.875" style="50" hidden="1" customWidth="1" outlineLevel="1"/>
    <col min="37" max="38" width="14.25" style="50" hidden="1" customWidth="1" outlineLevel="1"/>
    <col min="39" max="39" width="9.375" style="37" customWidth="1" collapsed="1"/>
    <col min="40" max="41" width="8.125" style="50" customWidth="1"/>
    <col min="42" max="42" width="3.75" style="50" customWidth="1"/>
    <col min="43" max="16384" width="10.75" style="50"/>
  </cols>
  <sheetData>
    <row r="1" spans="1:42" s="54" customFormat="1" ht="22.5" customHeight="1" x14ac:dyDescent="0.2">
      <c r="A1" s="181" t="str">
        <f>INDEX(EB.Monate.Bereich,MONTH(Monat.Tag1)) &amp; " " &amp; EB.Jahr</f>
        <v>November 2020</v>
      </c>
      <c r="B1" s="470" t="str">
        <f>Eingabeblatt!B1</f>
        <v>Employee Time Sheet</v>
      </c>
      <c r="C1" s="470"/>
      <c r="D1" s="470"/>
      <c r="E1" s="470"/>
      <c r="F1" s="470"/>
      <c r="G1" s="470"/>
      <c r="H1" s="470"/>
      <c r="I1" s="470"/>
      <c r="J1" s="470"/>
      <c r="K1" s="470"/>
      <c r="L1" s="470"/>
      <c r="M1" s="101"/>
      <c r="N1" s="101"/>
      <c r="O1" s="101"/>
      <c r="P1" s="101"/>
      <c r="Q1" s="101"/>
      <c r="R1" s="182"/>
      <c r="S1" s="101"/>
      <c r="T1" s="101"/>
      <c r="U1" s="101"/>
      <c r="V1" s="183"/>
      <c r="W1" s="183"/>
      <c r="X1" s="101"/>
      <c r="Y1" s="182"/>
      <c r="Z1" s="101"/>
      <c r="AA1" s="101"/>
      <c r="AB1" s="101"/>
      <c r="AC1" s="101"/>
      <c r="AD1" s="101"/>
      <c r="AE1" s="101"/>
      <c r="AF1" s="184"/>
      <c r="AG1" s="185"/>
      <c r="AH1" s="101"/>
      <c r="AI1" s="101"/>
      <c r="AJ1" s="101"/>
      <c r="AK1" s="101"/>
      <c r="AL1" s="101"/>
      <c r="AM1" s="440"/>
      <c r="AN1" s="498" t="str">
        <f>EB.Version</f>
        <v>Version 12.19</v>
      </c>
      <c r="AO1" s="498"/>
      <c r="AP1" s="103" t="str">
        <f>EB.Sprache</f>
        <v>EN</v>
      </c>
    </row>
    <row r="2" spans="1:42" s="38" customFormat="1" ht="15" customHeight="1" x14ac:dyDescent="0.2">
      <c r="A2" s="135"/>
      <c r="B2" s="461" t="str">
        <f>Eingabeblatt!A3</f>
        <v>Name</v>
      </c>
      <c r="C2" s="474"/>
      <c r="D2" s="474"/>
      <c r="E2" s="462"/>
      <c r="F2" s="499" t="str">
        <f>IF(EB.Name="","?",EB.Name)</f>
        <v>?</v>
      </c>
      <c r="G2" s="500"/>
      <c r="H2" s="500"/>
      <c r="I2" s="500"/>
      <c r="J2" s="500"/>
      <c r="K2" s="500"/>
      <c r="L2" s="500"/>
      <c r="M2" s="500"/>
      <c r="N2" s="501"/>
      <c r="O2" s="186"/>
      <c r="P2" s="461" t="str">
        <f>Eingabeblatt!J7</f>
        <v>Employment Level (FTE) in %</v>
      </c>
      <c r="Q2" s="474"/>
      <c r="R2" s="474"/>
      <c r="S2" s="474"/>
      <c r="T2" s="474"/>
      <c r="U2" s="462"/>
      <c r="V2" s="14">
        <f>IF(INDEX(EB.EffBG.Bereich,MONTH(Monat.Tag1))="","-     ",INDEX(EB.EffBG.Bereich,MONTH(Monat.Tag1)))</f>
        <v>100</v>
      </c>
      <c r="W2" s="187"/>
      <c r="X2" s="187"/>
      <c r="Y2" s="108"/>
      <c r="Z2" s="119"/>
      <c r="AA2" s="119"/>
      <c r="AB2" s="119"/>
      <c r="AC2" s="119"/>
      <c r="AD2" s="119"/>
      <c r="AE2" s="119"/>
      <c r="AF2" s="106"/>
      <c r="AG2" s="188"/>
      <c r="AH2" s="119"/>
      <c r="AI2" s="119"/>
      <c r="AJ2" s="119"/>
      <c r="AK2" s="119"/>
      <c r="AL2" s="119"/>
      <c r="AM2" s="189"/>
      <c r="AN2" s="119"/>
      <c r="AO2" s="119"/>
      <c r="AP2" s="119"/>
    </row>
    <row r="3" spans="1:42" s="38" customFormat="1" ht="15" customHeight="1" x14ac:dyDescent="0.2">
      <c r="A3" s="190"/>
      <c r="B3" s="461" t="str">
        <f>Eingabeblatt!H2</f>
        <v>Function</v>
      </c>
      <c r="C3" s="474"/>
      <c r="D3" s="474"/>
      <c r="E3" s="462"/>
      <c r="F3" s="483" t="str">
        <f>EB.Funktion</f>
        <v>Description of Function</v>
      </c>
      <c r="G3" s="484"/>
      <c r="H3" s="484"/>
      <c r="I3" s="484"/>
      <c r="J3" s="484"/>
      <c r="K3" s="484"/>
      <c r="L3" s="484"/>
      <c r="M3" s="484"/>
      <c r="N3" s="485"/>
      <c r="O3" s="106"/>
      <c r="P3" s="461" t="str">
        <f>Eingabeblatt!J12</f>
        <v>ø Hours per day at FTE</v>
      </c>
      <c r="Q3" s="474"/>
      <c r="R3" s="474"/>
      <c r="S3" s="474"/>
      <c r="T3" s="474"/>
      <c r="U3" s="462"/>
      <c r="V3" s="57">
        <f>IF(INDEX(EB.DurchSollTAZStd.Bereich,MONTH(Monat.Tag1))="","-     ",INDEX(EB.DurchSollTAZStd.Bereich,MONTH(Monat.Tag1)))</f>
        <v>0.35</v>
      </c>
      <c r="W3" s="191"/>
      <c r="X3" s="191"/>
      <c r="Y3" s="119"/>
      <c r="Z3" s="119"/>
      <c r="AA3" s="119"/>
      <c r="AB3" s="119"/>
      <c r="AC3" s="119"/>
      <c r="AD3" s="119"/>
      <c r="AE3" s="119"/>
      <c r="AF3" s="106"/>
      <c r="AG3" s="188"/>
      <c r="AH3" s="119"/>
      <c r="AI3" s="119"/>
      <c r="AJ3" s="119"/>
      <c r="AK3" s="119"/>
      <c r="AL3" s="119"/>
      <c r="AM3" s="189"/>
      <c r="AN3" s="119"/>
      <c r="AO3" s="119"/>
      <c r="AP3" s="119"/>
    </row>
    <row r="4" spans="1:42" s="38" customFormat="1" ht="15" customHeight="1" x14ac:dyDescent="0.2">
      <c r="A4" s="190"/>
      <c r="B4" s="461" t="str">
        <f>Eingabeblatt!H3</f>
        <v>Institute/Department</v>
      </c>
      <c r="C4" s="474"/>
      <c r="D4" s="474"/>
      <c r="E4" s="462"/>
      <c r="F4" s="483" t="str">
        <f>EB.Institut</f>
        <v>Institute/Department Name</v>
      </c>
      <c r="G4" s="484"/>
      <c r="H4" s="484"/>
      <c r="I4" s="484"/>
      <c r="J4" s="484"/>
      <c r="K4" s="484"/>
      <c r="L4" s="484"/>
      <c r="M4" s="484"/>
      <c r="N4" s="485"/>
      <c r="O4" s="106"/>
      <c r="P4" s="497" t="str">
        <f ca="1">IF(EB.ÜZZSBerechtigt=INDEX(T.JaNein.Bereich,1,1),IF(AND(OR(AND(EB.LKgr16=INDEX(T.JaNein.Bereich,1,1),EB.LKgr16ab&gt;EOMONTH(Monat.Tag1,0)),EB.LKgr16&lt;&gt;INDEX(T.JaNein.Bereich,1,1)),Monat.AZSoll.Total&gt;0),Eingabeblatt!J6,""),"")</f>
        <v/>
      </c>
      <c r="Q4" s="497"/>
      <c r="R4" s="497"/>
      <c r="S4" s="497"/>
      <c r="T4" s="497"/>
      <c r="U4" s="497"/>
      <c r="V4" s="192" t="str">
        <f ca="1">IF(P4&lt;&gt;"",EB.ÜZZSBerechtigt,"")</f>
        <v/>
      </c>
      <c r="W4" s="119"/>
      <c r="X4" s="119"/>
      <c r="Y4" s="119"/>
      <c r="Z4" s="119"/>
      <c r="AA4" s="119"/>
      <c r="AB4" s="119"/>
      <c r="AC4" s="119"/>
      <c r="AD4" s="119"/>
      <c r="AE4" s="119"/>
      <c r="AF4" s="106"/>
      <c r="AG4" s="188"/>
      <c r="AH4" s="119"/>
      <c r="AI4" s="119"/>
      <c r="AJ4" s="119"/>
      <c r="AK4" s="119"/>
      <c r="AL4" s="119"/>
      <c r="AM4" s="189"/>
      <c r="AN4" s="119"/>
      <c r="AO4" s="119"/>
      <c r="AP4" s="119"/>
    </row>
    <row r="5" spans="1:42" s="38" customFormat="1" ht="15" customHeight="1" x14ac:dyDescent="0.2">
      <c r="A5" s="190"/>
      <c r="B5" s="461" t="str">
        <f>Eingabeblatt!A5</f>
        <v>Employee Number</v>
      </c>
      <c r="C5" s="474"/>
      <c r="D5" s="474"/>
      <c r="E5" s="462"/>
      <c r="F5" s="483" t="str">
        <f>IF(EB.Personalnummer="","?",EB.Personalnummer)</f>
        <v>?</v>
      </c>
      <c r="G5" s="484"/>
      <c r="H5" s="484"/>
      <c r="I5" s="484"/>
      <c r="J5" s="484"/>
      <c r="K5" s="484"/>
      <c r="L5" s="484"/>
      <c r="M5" s="484"/>
      <c r="N5" s="485"/>
      <c r="O5" s="106"/>
      <c r="P5" s="110" t="str">
        <f>LEFT(Eingabeblatt!A38,SEARCH("(",Eingabeblatt!A38,1)-2) &amp; IF(MONTH(Monat.Tag1)&gt;1,IF(EB.Sprache="EN"," (changes as of "," (Veränderungen ab ") &amp; INDEX(EB.Monate.Bereich,MONTH(Monat.Tag1))  &amp; IF(EB.Sprache="EN"," have to be entered here)"," hier eintragen)"),"")</f>
        <v>Standard working hours (changes as of November have to be entered here)</v>
      </c>
      <c r="Q5" s="106"/>
      <c r="R5" s="119"/>
      <c r="S5" s="119"/>
      <c r="T5" s="119"/>
      <c r="U5" s="119"/>
      <c r="V5" s="119"/>
      <c r="W5" s="119"/>
      <c r="X5" s="119"/>
      <c r="Y5" s="119"/>
      <c r="Z5" s="119"/>
      <c r="AA5" s="119"/>
      <c r="AB5" s="119"/>
      <c r="AC5" s="119"/>
      <c r="AD5" s="119"/>
      <c r="AE5" s="119"/>
      <c r="AF5" s="106"/>
      <c r="AG5" s="188"/>
      <c r="AH5" s="119"/>
      <c r="AI5" s="119"/>
      <c r="AJ5" s="119"/>
      <c r="AK5" s="119"/>
      <c r="AL5" s="119"/>
      <c r="AM5" s="189"/>
      <c r="AN5" s="119"/>
      <c r="AO5" s="119"/>
      <c r="AP5" s="119"/>
    </row>
    <row r="6" spans="1:42" s="38" customFormat="1" ht="15" customHeight="1" x14ac:dyDescent="0.2">
      <c r="A6" s="190"/>
      <c r="B6" s="461" t="str">
        <f>Eingabeblatt!H4</f>
        <v>Faculty</v>
      </c>
      <c r="C6" s="474"/>
      <c r="D6" s="474"/>
      <c r="E6" s="462"/>
      <c r="F6" s="483" t="str">
        <f>EB.Fakultaet</f>
        <v>Select Faculty</v>
      </c>
      <c r="G6" s="484"/>
      <c r="H6" s="484"/>
      <c r="I6" s="484"/>
      <c r="J6" s="484"/>
      <c r="K6" s="484"/>
      <c r="L6" s="484"/>
      <c r="M6" s="484"/>
      <c r="N6" s="485"/>
      <c r="O6" s="106"/>
      <c r="P6" s="193" t="str">
        <f>LEFT(INDEX(EB.RAZ_Wochentage.Bereich,1),2)</f>
        <v>Mo</v>
      </c>
      <c r="Q6" s="193" t="str">
        <f>LEFT(INDEX(EB.RAZ_Wochentage.Bereich,2),2)</f>
        <v>Tu</v>
      </c>
      <c r="R6" s="193" t="str">
        <f>LEFT(INDEX(EB.RAZ_Wochentage.Bereich,3),2)</f>
        <v>We</v>
      </c>
      <c r="S6" s="193" t="str">
        <f>LEFT(INDEX(EB.RAZ_Wochentage.Bereich,4),2)</f>
        <v>Th</v>
      </c>
      <c r="T6" s="193" t="str">
        <f>LEFT(INDEX(EB.RAZ_Wochentage.Bereich,5),2)</f>
        <v>Fr</v>
      </c>
      <c r="U6" s="193" t="str">
        <f>LEFT(INDEX(EB.RAZ_Wochentage.Bereich,6),2)</f>
        <v>Sa</v>
      </c>
      <c r="V6" s="193" t="str">
        <f>LEFT(INDEX(EB.RAZ_Wochentage.Bereich,7),2)</f>
        <v>Su</v>
      </c>
      <c r="W6" s="119"/>
      <c r="X6" s="119"/>
      <c r="Y6" s="119"/>
      <c r="Z6" s="119"/>
      <c r="AA6" s="119"/>
      <c r="AB6" s="119"/>
      <c r="AC6" s="119"/>
      <c r="AD6" s="119"/>
      <c r="AE6" s="119"/>
      <c r="AF6" s="106"/>
      <c r="AG6" s="188"/>
      <c r="AH6" s="119"/>
      <c r="AI6" s="119"/>
      <c r="AJ6" s="119"/>
      <c r="AK6" s="119"/>
      <c r="AL6" s="119"/>
      <c r="AM6" s="189"/>
      <c r="AN6" s="119"/>
      <c r="AO6" s="119"/>
      <c r="AP6" s="119"/>
    </row>
    <row r="7" spans="1:42" s="38" customFormat="1" ht="15" customHeight="1" x14ac:dyDescent="0.2">
      <c r="A7" s="190"/>
      <c r="B7" s="461" t="str">
        <f>Eingabeblatt!H5</f>
        <v>Employee Category</v>
      </c>
      <c r="C7" s="474"/>
      <c r="D7" s="474"/>
      <c r="E7" s="462"/>
      <c r="F7" s="483" t="str">
        <f>EB.Personalkategorie</f>
        <v>Select Employee Category</v>
      </c>
      <c r="G7" s="484"/>
      <c r="H7" s="484"/>
      <c r="I7" s="484"/>
      <c r="J7" s="484"/>
      <c r="K7" s="484"/>
      <c r="L7" s="484"/>
      <c r="M7" s="484"/>
      <c r="N7" s="485"/>
      <c r="O7" s="106"/>
      <c r="P7" s="194">
        <f ca="1">IF(EB.Anwendung&lt;&gt;"",IF(MONTH(Monat.Tag1)=1,INDEX(EB.RAZ1_7.Bereich,1),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1)),"")</f>
        <v>0.35</v>
      </c>
      <c r="Q7" s="194">
        <f ca="1">IF(EB.Anwendung&lt;&gt;"",IF(MONTH(Monat.Tag1)=1,INDEX(EB.RAZ1_7.Bereich,2),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2)),"")</f>
        <v>0.35</v>
      </c>
      <c r="R7" s="194">
        <f ca="1">IF(EB.Anwendung&lt;&gt;"",IF(MONTH(Monat.Tag1)=1,INDEX(EB.RAZ1_7.Bereich,3),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3)),"")</f>
        <v>0.35</v>
      </c>
      <c r="S7" s="194">
        <f ca="1">IF(EB.Anwendung&lt;&gt;"",IF(MONTH(Monat.Tag1)=1,INDEX(EB.RAZ1_7.Bereich,4),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4)),"")</f>
        <v>0.35</v>
      </c>
      <c r="T7" s="194">
        <f ca="1">IF(EB.Anwendung&lt;&gt;"",IF(MONTH(Monat.Tag1)=1,INDEX(EB.RAZ1_7.Bereich,5),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5)),"")</f>
        <v>0.35</v>
      </c>
      <c r="U7" s="194">
        <f ca="1">IF(EB.Anwendung&lt;&gt;"",IF(MONTH(Monat.Tag1)=1,INDEX(EB.RAZ1_7.Bereich,6),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6)),"")</f>
        <v>0</v>
      </c>
      <c r="V7" s="194">
        <f ca="1">IF(EB.Anwendung&lt;&gt;"",IF(MONTH(Monat.Tag1)=1,INDEX(EB.RAZ1_7.Bereich,7),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7)),"")</f>
        <v>0</v>
      </c>
      <c r="W7" s="354">
        <f ca="1">SUM(Monat.RAZ1_7.Bereich)</f>
        <v>1.75</v>
      </c>
      <c r="X7" s="119"/>
      <c r="Y7" s="119"/>
      <c r="Z7" s="119"/>
      <c r="AA7" s="119"/>
      <c r="AB7" s="119"/>
      <c r="AC7" s="119"/>
      <c r="AD7" s="119"/>
      <c r="AE7" s="119"/>
      <c r="AF7" s="106"/>
      <c r="AG7" s="188"/>
      <c r="AH7" s="119"/>
      <c r="AI7" s="119"/>
      <c r="AJ7" s="119"/>
      <c r="AK7" s="119"/>
      <c r="AL7" s="119"/>
      <c r="AM7" s="189"/>
      <c r="AN7" s="119"/>
      <c r="AO7" s="119"/>
      <c r="AP7" s="119"/>
    </row>
    <row r="8" spans="1:42" s="38" customFormat="1" ht="11.25" customHeight="1" x14ac:dyDescent="0.2">
      <c r="A8" s="135"/>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06"/>
      <c r="AG8" s="188"/>
      <c r="AH8" s="119"/>
      <c r="AI8" s="119"/>
      <c r="AJ8" s="119"/>
      <c r="AK8" s="119"/>
      <c r="AL8" s="119"/>
      <c r="AM8" s="189"/>
      <c r="AN8" s="119"/>
      <c r="AO8" s="119"/>
      <c r="AP8" s="119"/>
    </row>
    <row r="9" spans="1:42" s="38" customFormat="1" ht="15" customHeight="1" x14ac:dyDescent="0.2">
      <c r="A9" s="135"/>
      <c r="B9" s="195" t="str">
        <f t="shared" ref="B9:AE9" si="0">INDEX(Monat.Wochentage.Bereich,1,WEEKDAY(B10,2))</f>
        <v>Su</v>
      </c>
      <c r="C9" s="195" t="str">
        <f t="shared" si="0"/>
        <v>Mo</v>
      </c>
      <c r="D9" s="195" t="str">
        <f t="shared" si="0"/>
        <v>Tu</v>
      </c>
      <c r="E9" s="195" t="str">
        <f t="shared" si="0"/>
        <v>We</v>
      </c>
      <c r="F9" s="195" t="str">
        <f t="shared" si="0"/>
        <v>Th</v>
      </c>
      <c r="G9" s="195" t="str">
        <f t="shared" si="0"/>
        <v>Fr</v>
      </c>
      <c r="H9" s="195" t="str">
        <f t="shared" si="0"/>
        <v>Sa</v>
      </c>
      <c r="I9" s="195" t="str">
        <f t="shared" si="0"/>
        <v>Su</v>
      </c>
      <c r="J9" s="195" t="str">
        <f t="shared" si="0"/>
        <v>Mo</v>
      </c>
      <c r="K9" s="195" t="str">
        <f t="shared" si="0"/>
        <v>Tu</v>
      </c>
      <c r="L9" s="195" t="str">
        <f t="shared" si="0"/>
        <v>We</v>
      </c>
      <c r="M9" s="195" t="str">
        <f t="shared" si="0"/>
        <v>Th</v>
      </c>
      <c r="N9" s="195" t="str">
        <f t="shared" si="0"/>
        <v>Fr</v>
      </c>
      <c r="O9" s="195" t="str">
        <f t="shared" si="0"/>
        <v>Sa</v>
      </c>
      <c r="P9" s="195" t="str">
        <f t="shared" si="0"/>
        <v>Su</v>
      </c>
      <c r="Q9" s="195" t="str">
        <f t="shared" si="0"/>
        <v>Mo</v>
      </c>
      <c r="R9" s="195" t="str">
        <f t="shared" si="0"/>
        <v>Tu</v>
      </c>
      <c r="S9" s="195" t="str">
        <f t="shared" si="0"/>
        <v>We</v>
      </c>
      <c r="T9" s="195" t="str">
        <f t="shared" si="0"/>
        <v>Th</v>
      </c>
      <c r="U9" s="195" t="str">
        <f t="shared" si="0"/>
        <v>Fr</v>
      </c>
      <c r="V9" s="195" t="str">
        <f t="shared" si="0"/>
        <v>Sa</v>
      </c>
      <c r="W9" s="195" t="str">
        <f t="shared" si="0"/>
        <v>Su</v>
      </c>
      <c r="X9" s="195" t="str">
        <f t="shared" si="0"/>
        <v>Mo</v>
      </c>
      <c r="Y9" s="195" t="str">
        <f t="shared" si="0"/>
        <v>Tu</v>
      </c>
      <c r="Z9" s="195" t="str">
        <f t="shared" si="0"/>
        <v>We</v>
      </c>
      <c r="AA9" s="195" t="str">
        <f t="shared" si="0"/>
        <v>Th</v>
      </c>
      <c r="AB9" s="195" t="str">
        <f t="shared" si="0"/>
        <v>Fr</v>
      </c>
      <c r="AC9" s="195" t="str">
        <f t="shared" si="0"/>
        <v>Sa</v>
      </c>
      <c r="AD9" s="195" t="str">
        <f t="shared" si="0"/>
        <v>Su</v>
      </c>
      <c r="AE9" s="195" t="str">
        <f t="shared" si="0"/>
        <v>Mo</v>
      </c>
      <c r="AF9" s="106"/>
      <c r="AG9" s="188"/>
      <c r="AH9" s="119"/>
      <c r="AI9" s="119"/>
      <c r="AJ9" s="119"/>
      <c r="AK9" s="119"/>
      <c r="AL9" s="119"/>
      <c r="AM9" s="189"/>
      <c r="AN9" s="119"/>
      <c r="AO9" s="119"/>
      <c r="AP9" s="119"/>
    </row>
    <row r="10" spans="1:42" s="59" customFormat="1" ht="25.5" x14ac:dyDescent="0.2">
      <c r="A10" s="196" t="s">
        <v>73</v>
      </c>
      <c r="B10" s="197">
        <v>42674</v>
      </c>
      <c r="C10" s="197">
        <f>B10+1</f>
        <v>42675</v>
      </c>
      <c r="D10" s="197">
        <f t="shared" ref="D10:AE10" si="1">C10+1</f>
        <v>42676</v>
      </c>
      <c r="E10" s="197">
        <f t="shared" si="1"/>
        <v>42677</v>
      </c>
      <c r="F10" s="197">
        <f t="shared" si="1"/>
        <v>42678</v>
      </c>
      <c r="G10" s="197">
        <f t="shared" si="1"/>
        <v>42679</v>
      </c>
      <c r="H10" s="197">
        <f t="shared" si="1"/>
        <v>42680</v>
      </c>
      <c r="I10" s="197">
        <f t="shared" si="1"/>
        <v>42681</v>
      </c>
      <c r="J10" s="197">
        <f t="shared" si="1"/>
        <v>42682</v>
      </c>
      <c r="K10" s="197">
        <f t="shared" si="1"/>
        <v>42683</v>
      </c>
      <c r="L10" s="197">
        <f t="shared" si="1"/>
        <v>42684</v>
      </c>
      <c r="M10" s="197">
        <f t="shared" si="1"/>
        <v>42685</v>
      </c>
      <c r="N10" s="197">
        <f t="shared" si="1"/>
        <v>42686</v>
      </c>
      <c r="O10" s="197">
        <f t="shared" si="1"/>
        <v>42687</v>
      </c>
      <c r="P10" s="197">
        <f t="shared" si="1"/>
        <v>42688</v>
      </c>
      <c r="Q10" s="197">
        <f t="shared" si="1"/>
        <v>42689</v>
      </c>
      <c r="R10" s="197">
        <f t="shared" si="1"/>
        <v>42690</v>
      </c>
      <c r="S10" s="197">
        <f t="shared" si="1"/>
        <v>42691</v>
      </c>
      <c r="T10" s="197">
        <f t="shared" si="1"/>
        <v>42692</v>
      </c>
      <c r="U10" s="197">
        <f t="shared" si="1"/>
        <v>42693</v>
      </c>
      <c r="V10" s="197">
        <f t="shared" si="1"/>
        <v>42694</v>
      </c>
      <c r="W10" s="197">
        <f t="shared" si="1"/>
        <v>42695</v>
      </c>
      <c r="X10" s="197">
        <f t="shared" si="1"/>
        <v>42696</v>
      </c>
      <c r="Y10" s="197">
        <f t="shared" si="1"/>
        <v>42697</v>
      </c>
      <c r="Z10" s="197">
        <f t="shared" si="1"/>
        <v>42698</v>
      </c>
      <c r="AA10" s="197">
        <f t="shared" si="1"/>
        <v>42699</v>
      </c>
      <c r="AB10" s="197">
        <f t="shared" si="1"/>
        <v>42700</v>
      </c>
      <c r="AC10" s="197">
        <f t="shared" si="1"/>
        <v>42701</v>
      </c>
      <c r="AD10" s="197">
        <f t="shared" si="1"/>
        <v>42702</v>
      </c>
      <c r="AE10" s="197">
        <f t="shared" si="1"/>
        <v>42703</v>
      </c>
      <c r="AF10" s="198" t="str">
        <f>A10</f>
        <v>Day</v>
      </c>
      <c r="AG10" s="486" t="str">
        <f>"Total " &amp; INDEX(EB.Monate.Bereich,MONTH(Monat.Tag1))</f>
        <v>Total November</v>
      </c>
      <c r="AH10" s="487"/>
      <c r="AI10" s="441" t="s">
        <v>229</v>
      </c>
      <c r="AJ10" s="199" t="s">
        <v>121</v>
      </c>
      <c r="AK10" s="199" t="s">
        <v>122</v>
      </c>
      <c r="AL10" s="199" t="s">
        <v>230</v>
      </c>
      <c r="AM10" s="200" t="s">
        <v>123</v>
      </c>
      <c r="AN10" s="488" t="str">
        <f ca="1">IF(EB.Sprache="DE","Jahressaldo per" &amp; CHAR(10) &amp; "    ME       " &amp; IFERROR(TEXT(TODAY(),"[$-0007]"&amp;"TT.MM.JJ"),TEXT(TODAY(),"[$-0007]"&amp;"DD.MM.YY")),
"Yearly balance by" &amp; CHAR(10) &amp; "   eom      " &amp; IFERROR(TEXT(TODAY(),"[$-0809]"&amp;"DD.MM.YY"),TEXT(TODAY(),"[$-0809]"&amp;"TT.MM.JJ")))</f>
        <v>Yearly balance by
   eom      14.12.19</v>
      </c>
      <c r="AO10" s="489"/>
      <c r="AP10" s="201"/>
    </row>
    <row r="11" spans="1:42" s="59" customFormat="1" ht="12" hidden="1" customHeight="1" x14ac:dyDescent="0.2">
      <c r="A11" s="196" t="s">
        <v>163</v>
      </c>
      <c r="B11" s="202">
        <f t="shared" ref="B11:AE11" ca="1" si="2">IFERROR(OFFSET(T.Feiertage.Bereich,MATCH(B$10,T.Feiertage.Bereich,0)-1,1,1,1),1)</f>
        <v>1</v>
      </c>
      <c r="C11" s="202">
        <f t="shared" ca="1" si="2"/>
        <v>1</v>
      </c>
      <c r="D11" s="202">
        <f t="shared" ca="1" si="2"/>
        <v>1</v>
      </c>
      <c r="E11" s="203">
        <f t="shared" ca="1" si="2"/>
        <v>1</v>
      </c>
      <c r="F11" s="202">
        <f t="shared" ca="1" si="2"/>
        <v>1</v>
      </c>
      <c r="G11" s="202">
        <f t="shared" ca="1" si="2"/>
        <v>1</v>
      </c>
      <c r="H11" s="202">
        <f t="shared" ca="1" si="2"/>
        <v>1</v>
      </c>
      <c r="I11" s="202">
        <f t="shared" ca="1" si="2"/>
        <v>1</v>
      </c>
      <c r="J11" s="203">
        <f t="shared" ca="1" si="2"/>
        <v>1</v>
      </c>
      <c r="K11" s="202">
        <f t="shared" ca="1" si="2"/>
        <v>1</v>
      </c>
      <c r="L11" s="203">
        <f t="shared" ca="1" si="2"/>
        <v>1</v>
      </c>
      <c r="M11" s="202">
        <f t="shared" ca="1" si="2"/>
        <v>1</v>
      </c>
      <c r="N11" s="202">
        <f t="shared" ca="1" si="2"/>
        <v>1</v>
      </c>
      <c r="O11" s="202">
        <f t="shared" ca="1" si="2"/>
        <v>1</v>
      </c>
      <c r="P11" s="202">
        <f t="shared" ca="1" si="2"/>
        <v>1</v>
      </c>
      <c r="Q11" s="203">
        <f t="shared" ca="1" si="2"/>
        <v>1</v>
      </c>
      <c r="R11" s="202">
        <f t="shared" ca="1" si="2"/>
        <v>1</v>
      </c>
      <c r="S11" s="203">
        <f t="shared" ca="1" si="2"/>
        <v>1</v>
      </c>
      <c r="T11" s="203">
        <f t="shared" ca="1" si="2"/>
        <v>1</v>
      </c>
      <c r="U11" s="202">
        <f t="shared" ca="1" si="2"/>
        <v>1</v>
      </c>
      <c r="V11" s="202">
        <f t="shared" ca="1" si="2"/>
        <v>1</v>
      </c>
      <c r="W11" s="202">
        <f t="shared" ca="1" si="2"/>
        <v>1</v>
      </c>
      <c r="X11" s="203">
        <f t="shared" ca="1" si="2"/>
        <v>1</v>
      </c>
      <c r="Y11" s="202">
        <f t="shared" ca="1" si="2"/>
        <v>1</v>
      </c>
      <c r="Z11" s="204">
        <f t="shared" ca="1" si="2"/>
        <v>1</v>
      </c>
      <c r="AA11" s="202">
        <f t="shared" ca="1" si="2"/>
        <v>1</v>
      </c>
      <c r="AB11" s="202">
        <f t="shared" ca="1" si="2"/>
        <v>1</v>
      </c>
      <c r="AC11" s="202">
        <f t="shared" ca="1" si="2"/>
        <v>1</v>
      </c>
      <c r="AD11" s="202">
        <f t="shared" ca="1" si="2"/>
        <v>1</v>
      </c>
      <c r="AE11" s="203">
        <f t="shared" ca="1" si="2"/>
        <v>1</v>
      </c>
      <c r="AF11" s="205"/>
      <c r="AG11" s="188"/>
      <c r="AH11" s="206"/>
      <c r="AI11" s="207"/>
      <c r="AJ11" s="208"/>
      <c r="AK11" s="209"/>
      <c r="AL11" s="209"/>
      <c r="AM11" s="208"/>
      <c r="AN11" s="209"/>
      <c r="AO11" s="209"/>
      <c r="AP11" s="201"/>
    </row>
    <row r="12" spans="1:42" s="59" customFormat="1" ht="12" hidden="1" customHeight="1" x14ac:dyDescent="0.2">
      <c r="A12" s="196" t="s">
        <v>169</v>
      </c>
      <c r="B12" s="210">
        <f t="shared" ref="B12:AE12" si="3">IF(OR(AND(ISNUMBER(EB.UJEintritt),EB.UJEintritt&gt;=B$10+1),AND(ISNUMBER(EB.UJAustritt),EB.UJAustritt&lt;=B$10-1)),0,1)</f>
        <v>1</v>
      </c>
      <c r="C12" s="210">
        <f t="shared" si="3"/>
        <v>1</v>
      </c>
      <c r="D12" s="210">
        <f t="shared" si="3"/>
        <v>1</v>
      </c>
      <c r="E12" s="195">
        <f t="shared" si="3"/>
        <v>1</v>
      </c>
      <c r="F12" s="210">
        <f t="shared" si="3"/>
        <v>1</v>
      </c>
      <c r="G12" s="210">
        <f t="shared" si="3"/>
        <v>1</v>
      </c>
      <c r="H12" s="210">
        <f t="shared" si="3"/>
        <v>1</v>
      </c>
      <c r="I12" s="210">
        <f t="shared" si="3"/>
        <v>1</v>
      </c>
      <c r="J12" s="195">
        <f t="shared" si="3"/>
        <v>1</v>
      </c>
      <c r="K12" s="210">
        <f t="shared" si="3"/>
        <v>1</v>
      </c>
      <c r="L12" s="195">
        <f t="shared" si="3"/>
        <v>1</v>
      </c>
      <c r="M12" s="210">
        <f t="shared" si="3"/>
        <v>1</v>
      </c>
      <c r="N12" s="210">
        <f t="shared" si="3"/>
        <v>1</v>
      </c>
      <c r="O12" s="210">
        <f t="shared" si="3"/>
        <v>1</v>
      </c>
      <c r="P12" s="210">
        <f t="shared" si="3"/>
        <v>1</v>
      </c>
      <c r="Q12" s="195">
        <f t="shared" si="3"/>
        <v>1</v>
      </c>
      <c r="R12" s="210">
        <f t="shared" si="3"/>
        <v>1</v>
      </c>
      <c r="S12" s="195">
        <f t="shared" si="3"/>
        <v>1</v>
      </c>
      <c r="T12" s="195">
        <f t="shared" si="3"/>
        <v>1</v>
      </c>
      <c r="U12" s="210">
        <f t="shared" si="3"/>
        <v>1</v>
      </c>
      <c r="V12" s="210">
        <f t="shared" si="3"/>
        <v>1</v>
      </c>
      <c r="W12" s="210">
        <f t="shared" si="3"/>
        <v>1</v>
      </c>
      <c r="X12" s="195">
        <f t="shared" si="3"/>
        <v>1</v>
      </c>
      <c r="Y12" s="210">
        <f t="shared" si="3"/>
        <v>1</v>
      </c>
      <c r="Z12" s="211">
        <f t="shared" si="3"/>
        <v>1</v>
      </c>
      <c r="AA12" s="210">
        <f t="shared" si="3"/>
        <v>1</v>
      </c>
      <c r="AB12" s="210">
        <f t="shared" si="3"/>
        <v>1</v>
      </c>
      <c r="AC12" s="210">
        <f t="shared" si="3"/>
        <v>1</v>
      </c>
      <c r="AD12" s="210">
        <f t="shared" si="3"/>
        <v>1</v>
      </c>
      <c r="AE12" s="195">
        <f t="shared" si="3"/>
        <v>1</v>
      </c>
      <c r="AF12" s="205"/>
      <c r="AG12" s="188"/>
      <c r="AH12" s="206"/>
      <c r="AI12" s="207"/>
      <c r="AJ12" s="208"/>
      <c r="AK12" s="209"/>
      <c r="AL12" s="209"/>
      <c r="AM12" s="208"/>
      <c r="AN12" s="209"/>
      <c r="AO12" s="209"/>
      <c r="AP12" s="201"/>
    </row>
    <row r="13" spans="1:42" s="38" customFormat="1" ht="15" customHeight="1" x14ac:dyDescent="0.2">
      <c r="A13" s="212" t="s">
        <v>74</v>
      </c>
      <c r="B13" s="40"/>
      <c r="C13" s="40"/>
      <c r="D13" s="40"/>
      <c r="E13" s="27"/>
      <c r="F13" s="40"/>
      <c r="G13" s="40"/>
      <c r="H13" s="40"/>
      <c r="I13" s="40"/>
      <c r="J13" s="27"/>
      <c r="K13" s="40"/>
      <c r="L13" s="27"/>
      <c r="M13" s="40"/>
      <c r="N13" s="40"/>
      <c r="O13" s="40"/>
      <c r="P13" s="40"/>
      <c r="Q13" s="27"/>
      <c r="R13" s="40"/>
      <c r="S13" s="27"/>
      <c r="T13" s="27"/>
      <c r="U13" s="40"/>
      <c r="V13" s="40"/>
      <c r="W13" s="40"/>
      <c r="X13" s="27"/>
      <c r="Y13" s="40"/>
      <c r="Z13" s="39"/>
      <c r="AA13" s="40"/>
      <c r="AB13" s="40"/>
      <c r="AC13" s="40"/>
      <c r="AD13" s="40"/>
      <c r="AE13" s="27"/>
      <c r="AF13" s="205" t="str">
        <f t="shared" ref="AF13:AF23" si="4">A13</f>
        <v>in</v>
      </c>
      <c r="AG13" s="188"/>
      <c r="AH13" s="206"/>
      <c r="AI13" s="207"/>
      <c r="AJ13" s="208"/>
      <c r="AK13" s="209"/>
      <c r="AL13" s="209"/>
      <c r="AM13" s="208"/>
      <c r="AN13" s="209"/>
      <c r="AO13" s="209"/>
      <c r="AP13" s="119"/>
    </row>
    <row r="14" spans="1:42" s="38" customFormat="1" ht="15" customHeight="1" x14ac:dyDescent="0.2">
      <c r="A14" s="212" t="s">
        <v>75</v>
      </c>
      <c r="B14" s="40"/>
      <c r="C14" s="40"/>
      <c r="D14" s="40"/>
      <c r="E14" s="27"/>
      <c r="F14" s="40"/>
      <c r="G14" s="40"/>
      <c r="H14" s="40"/>
      <c r="I14" s="40"/>
      <c r="J14" s="27"/>
      <c r="K14" s="40"/>
      <c r="L14" s="27"/>
      <c r="M14" s="40"/>
      <c r="N14" s="40"/>
      <c r="O14" s="40"/>
      <c r="P14" s="40"/>
      <c r="Q14" s="27"/>
      <c r="R14" s="40"/>
      <c r="S14" s="27"/>
      <c r="T14" s="27"/>
      <c r="U14" s="40"/>
      <c r="V14" s="40"/>
      <c r="W14" s="40"/>
      <c r="X14" s="27"/>
      <c r="Y14" s="40"/>
      <c r="Z14" s="39"/>
      <c r="AA14" s="40"/>
      <c r="AB14" s="40"/>
      <c r="AC14" s="40"/>
      <c r="AD14" s="40"/>
      <c r="AE14" s="27"/>
      <c r="AF14" s="205" t="str">
        <f t="shared" si="4"/>
        <v>out</v>
      </c>
      <c r="AG14" s="188"/>
      <c r="AH14" s="206"/>
      <c r="AI14" s="207"/>
      <c r="AJ14" s="208"/>
      <c r="AK14" s="209"/>
      <c r="AL14" s="209"/>
      <c r="AM14" s="208"/>
      <c r="AN14" s="209"/>
      <c r="AO14" s="209"/>
      <c r="AP14" s="119"/>
    </row>
    <row r="15" spans="1:42" s="38" customFormat="1" ht="15" customHeight="1" x14ac:dyDescent="0.2">
      <c r="A15" s="212" t="s">
        <v>74</v>
      </c>
      <c r="B15" s="40"/>
      <c r="C15" s="40"/>
      <c r="D15" s="40"/>
      <c r="E15" s="27"/>
      <c r="F15" s="40"/>
      <c r="G15" s="40"/>
      <c r="H15" s="40"/>
      <c r="I15" s="40"/>
      <c r="J15" s="27"/>
      <c r="K15" s="40"/>
      <c r="L15" s="27"/>
      <c r="M15" s="40"/>
      <c r="N15" s="40"/>
      <c r="O15" s="40"/>
      <c r="P15" s="40"/>
      <c r="Q15" s="27"/>
      <c r="R15" s="40"/>
      <c r="S15" s="27"/>
      <c r="T15" s="27"/>
      <c r="U15" s="40"/>
      <c r="V15" s="40"/>
      <c r="W15" s="40"/>
      <c r="X15" s="27"/>
      <c r="Y15" s="40"/>
      <c r="Z15" s="39"/>
      <c r="AA15" s="40"/>
      <c r="AB15" s="40"/>
      <c r="AC15" s="40"/>
      <c r="AD15" s="40"/>
      <c r="AE15" s="27"/>
      <c r="AF15" s="205" t="str">
        <f t="shared" si="4"/>
        <v>in</v>
      </c>
      <c r="AG15" s="188"/>
      <c r="AH15" s="206"/>
      <c r="AI15" s="207"/>
      <c r="AJ15" s="208"/>
      <c r="AK15" s="209"/>
      <c r="AL15" s="209"/>
      <c r="AM15" s="208"/>
      <c r="AN15" s="209"/>
      <c r="AO15" s="209"/>
      <c r="AP15" s="119"/>
    </row>
    <row r="16" spans="1:42" s="38" customFormat="1" ht="15" customHeight="1" x14ac:dyDescent="0.2">
      <c r="A16" s="212" t="s">
        <v>75</v>
      </c>
      <c r="B16" s="40"/>
      <c r="C16" s="40"/>
      <c r="D16" s="40"/>
      <c r="E16" s="27"/>
      <c r="F16" s="40"/>
      <c r="G16" s="40"/>
      <c r="H16" s="40"/>
      <c r="I16" s="40"/>
      <c r="J16" s="27"/>
      <c r="K16" s="40"/>
      <c r="L16" s="27"/>
      <c r="M16" s="40"/>
      <c r="N16" s="40"/>
      <c r="O16" s="40"/>
      <c r="P16" s="40"/>
      <c r="Q16" s="27"/>
      <c r="R16" s="40"/>
      <c r="S16" s="27"/>
      <c r="T16" s="27"/>
      <c r="U16" s="40"/>
      <c r="V16" s="40"/>
      <c r="W16" s="40"/>
      <c r="X16" s="27"/>
      <c r="Y16" s="40"/>
      <c r="Z16" s="39"/>
      <c r="AA16" s="40"/>
      <c r="AB16" s="40"/>
      <c r="AC16" s="40"/>
      <c r="AD16" s="40"/>
      <c r="AE16" s="27"/>
      <c r="AF16" s="205" t="str">
        <f t="shared" si="4"/>
        <v>out</v>
      </c>
      <c r="AG16" s="188"/>
      <c r="AH16" s="213"/>
      <c r="AI16" s="214"/>
      <c r="AJ16" s="209"/>
      <c r="AK16" s="209"/>
      <c r="AL16" s="209"/>
      <c r="AM16" s="208"/>
      <c r="AN16" s="209"/>
      <c r="AO16" s="209"/>
      <c r="AP16" s="119"/>
    </row>
    <row r="17" spans="1:42" s="38" customFormat="1" ht="15" customHeight="1" x14ac:dyDescent="0.2">
      <c r="A17" s="212" t="s">
        <v>74</v>
      </c>
      <c r="B17" s="40"/>
      <c r="C17" s="40"/>
      <c r="D17" s="40"/>
      <c r="E17" s="27"/>
      <c r="F17" s="40"/>
      <c r="G17" s="40"/>
      <c r="H17" s="40"/>
      <c r="I17" s="40"/>
      <c r="J17" s="27"/>
      <c r="K17" s="40"/>
      <c r="L17" s="27"/>
      <c r="M17" s="40"/>
      <c r="N17" s="40"/>
      <c r="O17" s="40"/>
      <c r="P17" s="40"/>
      <c r="Q17" s="27"/>
      <c r="R17" s="40"/>
      <c r="S17" s="27"/>
      <c r="T17" s="27"/>
      <c r="U17" s="40"/>
      <c r="V17" s="40"/>
      <c r="W17" s="40"/>
      <c r="X17" s="27"/>
      <c r="Y17" s="40"/>
      <c r="Z17" s="39"/>
      <c r="AA17" s="40"/>
      <c r="AB17" s="40"/>
      <c r="AC17" s="40"/>
      <c r="AD17" s="40"/>
      <c r="AE17" s="27"/>
      <c r="AF17" s="205" t="str">
        <f t="shared" si="4"/>
        <v>in</v>
      </c>
      <c r="AG17" s="188"/>
      <c r="AH17" s="213"/>
      <c r="AI17" s="214"/>
      <c r="AJ17" s="209"/>
      <c r="AK17" s="209"/>
      <c r="AL17" s="209"/>
      <c r="AM17" s="208"/>
      <c r="AN17" s="209"/>
      <c r="AO17" s="209"/>
      <c r="AP17" s="119"/>
    </row>
    <row r="18" spans="1:42" s="38" customFormat="1" ht="15" customHeight="1" x14ac:dyDescent="0.2">
      <c r="A18" s="212" t="s">
        <v>75</v>
      </c>
      <c r="B18" s="40"/>
      <c r="C18" s="40"/>
      <c r="D18" s="40"/>
      <c r="E18" s="27"/>
      <c r="F18" s="40"/>
      <c r="G18" s="40"/>
      <c r="H18" s="40"/>
      <c r="I18" s="40"/>
      <c r="J18" s="27"/>
      <c r="K18" s="40"/>
      <c r="L18" s="27"/>
      <c r="M18" s="40"/>
      <c r="N18" s="40"/>
      <c r="O18" s="40"/>
      <c r="P18" s="40"/>
      <c r="Q18" s="27"/>
      <c r="R18" s="40"/>
      <c r="S18" s="27"/>
      <c r="T18" s="27"/>
      <c r="U18" s="40"/>
      <c r="V18" s="40"/>
      <c r="W18" s="40"/>
      <c r="X18" s="27"/>
      <c r="Y18" s="40"/>
      <c r="Z18" s="39"/>
      <c r="AA18" s="40"/>
      <c r="AB18" s="40"/>
      <c r="AC18" s="40"/>
      <c r="AD18" s="40"/>
      <c r="AE18" s="27"/>
      <c r="AF18" s="205" t="str">
        <f t="shared" si="4"/>
        <v>out</v>
      </c>
      <c r="AG18" s="188"/>
      <c r="AH18" s="213"/>
      <c r="AI18" s="214"/>
      <c r="AJ18" s="209"/>
      <c r="AK18" s="209"/>
      <c r="AL18" s="209"/>
      <c r="AM18" s="208"/>
      <c r="AN18" s="209"/>
      <c r="AO18" s="209"/>
      <c r="AP18" s="119"/>
    </row>
    <row r="19" spans="1:42" s="38" customFormat="1" ht="15" hidden="1" customHeight="1" outlineLevel="1" x14ac:dyDescent="0.2">
      <c r="A19" s="212" t="s">
        <v>74</v>
      </c>
      <c r="B19" s="40"/>
      <c r="C19" s="40"/>
      <c r="D19" s="40"/>
      <c r="E19" s="27"/>
      <c r="F19" s="40"/>
      <c r="G19" s="40"/>
      <c r="H19" s="40"/>
      <c r="I19" s="40"/>
      <c r="J19" s="27"/>
      <c r="K19" s="40"/>
      <c r="L19" s="27"/>
      <c r="M19" s="40"/>
      <c r="N19" s="40"/>
      <c r="O19" s="40"/>
      <c r="P19" s="40"/>
      <c r="Q19" s="27"/>
      <c r="R19" s="40"/>
      <c r="S19" s="27"/>
      <c r="T19" s="27"/>
      <c r="U19" s="40"/>
      <c r="V19" s="40"/>
      <c r="W19" s="40"/>
      <c r="X19" s="27"/>
      <c r="Y19" s="40"/>
      <c r="Z19" s="39"/>
      <c r="AA19" s="40"/>
      <c r="AB19" s="40"/>
      <c r="AC19" s="40"/>
      <c r="AD19" s="40"/>
      <c r="AE19" s="27"/>
      <c r="AF19" s="205" t="str">
        <f t="shared" si="4"/>
        <v>in</v>
      </c>
      <c r="AG19" s="188"/>
      <c r="AH19" s="213"/>
      <c r="AI19" s="214"/>
      <c r="AJ19" s="209"/>
      <c r="AK19" s="209"/>
      <c r="AL19" s="209"/>
      <c r="AM19" s="208"/>
      <c r="AN19" s="209"/>
      <c r="AO19" s="209"/>
      <c r="AP19" s="119"/>
    </row>
    <row r="20" spans="1:42" s="38" customFormat="1" ht="15" hidden="1" customHeight="1" outlineLevel="1" x14ac:dyDescent="0.2">
      <c r="A20" s="212" t="s">
        <v>75</v>
      </c>
      <c r="B20" s="40"/>
      <c r="C20" s="40"/>
      <c r="D20" s="40"/>
      <c r="E20" s="27"/>
      <c r="F20" s="40"/>
      <c r="G20" s="40"/>
      <c r="H20" s="40"/>
      <c r="I20" s="40"/>
      <c r="J20" s="27"/>
      <c r="K20" s="40"/>
      <c r="L20" s="27"/>
      <c r="M20" s="40"/>
      <c r="N20" s="40"/>
      <c r="O20" s="40"/>
      <c r="P20" s="40"/>
      <c r="Q20" s="27"/>
      <c r="R20" s="40"/>
      <c r="S20" s="27"/>
      <c r="T20" s="27"/>
      <c r="U20" s="40"/>
      <c r="V20" s="40"/>
      <c r="W20" s="40"/>
      <c r="X20" s="27"/>
      <c r="Y20" s="40"/>
      <c r="Z20" s="39"/>
      <c r="AA20" s="40"/>
      <c r="AB20" s="40"/>
      <c r="AC20" s="40"/>
      <c r="AD20" s="40"/>
      <c r="AE20" s="27"/>
      <c r="AF20" s="205" t="str">
        <f t="shared" si="4"/>
        <v>out</v>
      </c>
      <c r="AG20" s="188"/>
      <c r="AH20" s="213"/>
      <c r="AI20" s="214"/>
      <c r="AJ20" s="209"/>
      <c r="AK20" s="209"/>
      <c r="AL20" s="209"/>
      <c r="AM20" s="208"/>
      <c r="AN20" s="209"/>
      <c r="AO20" s="209"/>
      <c r="AP20" s="119"/>
    </row>
    <row r="21" spans="1:42" s="38" customFormat="1" ht="15" hidden="1" customHeight="1" outlineLevel="1" x14ac:dyDescent="0.2">
      <c r="A21" s="212" t="s">
        <v>74</v>
      </c>
      <c r="B21" s="40"/>
      <c r="C21" s="40"/>
      <c r="D21" s="40"/>
      <c r="E21" s="27"/>
      <c r="F21" s="40"/>
      <c r="G21" s="40"/>
      <c r="H21" s="40"/>
      <c r="I21" s="40"/>
      <c r="J21" s="27"/>
      <c r="K21" s="40"/>
      <c r="L21" s="27"/>
      <c r="M21" s="40"/>
      <c r="N21" s="40"/>
      <c r="O21" s="40"/>
      <c r="P21" s="40"/>
      <c r="Q21" s="27"/>
      <c r="R21" s="40"/>
      <c r="S21" s="27"/>
      <c r="T21" s="27"/>
      <c r="U21" s="40"/>
      <c r="V21" s="40"/>
      <c r="W21" s="40"/>
      <c r="X21" s="27"/>
      <c r="Y21" s="40"/>
      <c r="Z21" s="39"/>
      <c r="AA21" s="40"/>
      <c r="AB21" s="40"/>
      <c r="AC21" s="40"/>
      <c r="AD21" s="40"/>
      <c r="AE21" s="27"/>
      <c r="AF21" s="205" t="str">
        <f t="shared" si="4"/>
        <v>in</v>
      </c>
      <c r="AG21" s="188"/>
      <c r="AH21" s="213"/>
      <c r="AI21" s="214"/>
      <c r="AJ21" s="209"/>
      <c r="AK21" s="209"/>
      <c r="AL21" s="209"/>
      <c r="AM21" s="208"/>
      <c r="AN21" s="209"/>
      <c r="AO21" s="209"/>
      <c r="AP21" s="119"/>
    </row>
    <row r="22" spans="1:42" s="38" customFormat="1" ht="15" hidden="1" customHeight="1" outlineLevel="1" x14ac:dyDescent="0.2">
      <c r="A22" s="212" t="s">
        <v>75</v>
      </c>
      <c r="B22" s="40"/>
      <c r="C22" s="40"/>
      <c r="D22" s="40"/>
      <c r="E22" s="27"/>
      <c r="F22" s="40"/>
      <c r="G22" s="40"/>
      <c r="H22" s="40"/>
      <c r="I22" s="40"/>
      <c r="J22" s="27"/>
      <c r="K22" s="40"/>
      <c r="L22" s="27"/>
      <c r="M22" s="40"/>
      <c r="N22" s="40"/>
      <c r="O22" s="40"/>
      <c r="P22" s="40"/>
      <c r="Q22" s="27"/>
      <c r="R22" s="40"/>
      <c r="S22" s="27"/>
      <c r="T22" s="27"/>
      <c r="U22" s="40"/>
      <c r="V22" s="40"/>
      <c r="W22" s="40"/>
      <c r="X22" s="27"/>
      <c r="Y22" s="40"/>
      <c r="Z22" s="39"/>
      <c r="AA22" s="40"/>
      <c r="AB22" s="40"/>
      <c r="AC22" s="40"/>
      <c r="AD22" s="40"/>
      <c r="AE22" s="27"/>
      <c r="AF22" s="205" t="str">
        <f t="shared" si="4"/>
        <v>out</v>
      </c>
      <c r="AG22" s="188"/>
      <c r="AH22" s="213"/>
      <c r="AI22" s="214"/>
      <c r="AJ22" s="209"/>
      <c r="AK22" s="209"/>
      <c r="AL22" s="209"/>
      <c r="AM22" s="208"/>
      <c r="AN22" s="209"/>
      <c r="AO22" s="209"/>
      <c r="AP22" s="119"/>
    </row>
    <row r="23" spans="1:42" s="38" customFormat="1" ht="15" customHeight="1" collapsed="1" x14ac:dyDescent="0.2">
      <c r="A23" s="215" t="s">
        <v>204</v>
      </c>
      <c r="B23" s="216">
        <f>ROUND(((B14-B13)+(B16-B15)+(B18-B17)+(B20-B19)+(B22-B21))*1440,0)/1440</f>
        <v>0</v>
      </c>
      <c r="C23" s="216">
        <f t="shared" ref="C23:AE23" si="5">ROUND(((C14-C13)+(C16-C15)+(C18-C17)+(C20-C19)+(C22-C21))*1440,0)/1440</f>
        <v>0</v>
      </c>
      <c r="D23" s="216">
        <f t="shared" si="5"/>
        <v>0</v>
      </c>
      <c r="E23" s="216">
        <f t="shared" si="5"/>
        <v>0</v>
      </c>
      <c r="F23" s="216">
        <f t="shared" si="5"/>
        <v>0</v>
      </c>
      <c r="G23" s="216">
        <f t="shared" si="5"/>
        <v>0</v>
      </c>
      <c r="H23" s="216">
        <f t="shared" si="5"/>
        <v>0</v>
      </c>
      <c r="I23" s="216">
        <f t="shared" si="5"/>
        <v>0</v>
      </c>
      <c r="J23" s="216">
        <f t="shared" si="5"/>
        <v>0</v>
      </c>
      <c r="K23" s="216">
        <f t="shared" si="5"/>
        <v>0</v>
      </c>
      <c r="L23" s="216">
        <f t="shared" si="5"/>
        <v>0</v>
      </c>
      <c r="M23" s="216">
        <f t="shared" si="5"/>
        <v>0</v>
      </c>
      <c r="N23" s="216">
        <f t="shared" si="5"/>
        <v>0</v>
      </c>
      <c r="O23" s="216">
        <f t="shared" si="5"/>
        <v>0</v>
      </c>
      <c r="P23" s="216">
        <f t="shared" si="5"/>
        <v>0</v>
      </c>
      <c r="Q23" s="216">
        <f t="shared" si="5"/>
        <v>0</v>
      </c>
      <c r="R23" s="216">
        <f t="shared" si="5"/>
        <v>0</v>
      </c>
      <c r="S23" s="216">
        <f t="shared" si="5"/>
        <v>0</v>
      </c>
      <c r="T23" s="216">
        <f t="shared" si="5"/>
        <v>0</v>
      </c>
      <c r="U23" s="216">
        <f t="shared" si="5"/>
        <v>0</v>
      </c>
      <c r="V23" s="216">
        <f t="shared" si="5"/>
        <v>0</v>
      </c>
      <c r="W23" s="216">
        <f t="shared" si="5"/>
        <v>0</v>
      </c>
      <c r="X23" s="216">
        <f t="shared" si="5"/>
        <v>0</v>
      </c>
      <c r="Y23" s="216">
        <f t="shared" si="5"/>
        <v>0</v>
      </c>
      <c r="Z23" s="216">
        <f t="shared" si="5"/>
        <v>0</v>
      </c>
      <c r="AA23" s="216">
        <f t="shared" si="5"/>
        <v>0</v>
      </c>
      <c r="AB23" s="216">
        <f t="shared" si="5"/>
        <v>0</v>
      </c>
      <c r="AC23" s="216">
        <f t="shared" si="5"/>
        <v>0</v>
      </c>
      <c r="AD23" s="216">
        <f t="shared" si="5"/>
        <v>0</v>
      </c>
      <c r="AE23" s="216">
        <f t="shared" si="5"/>
        <v>0</v>
      </c>
      <c r="AF23" s="217" t="str">
        <f t="shared" si="4"/>
        <v>Total in/out</v>
      </c>
      <c r="AG23" s="218"/>
      <c r="AH23" s="219">
        <f>SUM(B23:AE23)</f>
        <v>0</v>
      </c>
      <c r="AI23" s="214"/>
      <c r="AJ23" s="209"/>
      <c r="AK23" s="209"/>
      <c r="AL23" s="209"/>
      <c r="AM23" s="208"/>
      <c r="AN23" s="209"/>
      <c r="AO23" s="209"/>
      <c r="AP23" s="119"/>
    </row>
    <row r="24" spans="1:42" s="38" customFormat="1" ht="3.75" hidden="1" customHeight="1" outlineLevel="1" x14ac:dyDescent="0.2">
      <c r="A24" s="220"/>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05"/>
      <c r="AG24" s="188"/>
      <c r="AH24" s="213"/>
      <c r="AI24" s="214"/>
      <c r="AJ24" s="209"/>
      <c r="AK24" s="209"/>
      <c r="AL24" s="209"/>
      <c r="AM24" s="208"/>
      <c r="AN24" s="209"/>
      <c r="AO24" s="209"/>
      <c r="AP24" s="119"/>
    </row>
    <row r="25" spans="1:42" s="38" customFormat="1" ht="15" hidden="1" customHeight="1" outlineLevel="1" x14ac:dyDescent="0.2">
      <c r="A25" s="212" t="s">
        <v>164</v>
      </c>
      <c r="B25" s="40"/>
      <c r="C25" s="40"/>
      <c r="D25" s="40"/>
      <c r="E25" s="77"/>
      <c r="F25" s="40"/>
      <c r="G25" s="40"/>
      <c r="H25" s="40"/>
      <c r="I25" s="40"/>
      <c r="J25" s="40"/>
      <c r="K25" s="40"/>
      <c r="L25" s="40"/>
      <c r="M25" s="40"/>
      <c r="N25" s="40"/>
      <c r="O25" s="40"/>
      <c r="P25" s="40"/>
      <c r="Q25" s="40"/>
      <c r="R25" s="40"/>
      <c r="S25" s="40"/>
      <c r="T25" s="40"/>
      <c r="U25" s="40"/>
      <c r="V25" s="40"/>
      <c r="W25" s="40"/>
      <c r="X25" s="40"/>
      <c r="Y25" s="40"/>
      <c r="Z25" s="47"/>
      <c r="AA25" s="40"/>
      <c r="AB25" s="40"/>
      <c r="AC25" s="40"/>
      <c r="AD25" s="40"/>
      <c r="AE25" s="40"/>
      <c r="AF25" s="205" t="str">
        <f t="shared" ref="AF25:AF30" si="6">A25</f>
        <v>paid break in</v>
      </c>
      <c r="AG25" s="188"/>
      <c r="AH25" s="213"/>
      <c r="AI25" s="214"/>
      <c r="AJ25" s="209"/>
      <c r="AK25" s="209"/>
      <c r="AL25" s="209"/>
      <c r="AM25" s="208"/>
      <c r="AN25" s="209"/>
      <c r="AO25" s="209"/>
      <c r="AP25" s="119"/>
    </row>
    <row r="26" spans="1:42" s="38" customFormat="1" ht="15" hidden="1" customHeight="1" outlineLevel="1" x14ac:dyDescent="0.2">
      <c r="A26" s="212" t="s">
        <v>165</v>
      </c>
      <c r="B26" s="40"/>
      <c r="C26" s="40"/>
      <c r="D26" s="40"/>
      <c r="E26" s="40"/>
      <c r="F26" s="40"/>
      <c r="G26" s="40"/>
      <c r="H26" s="40"/>
      <c r="I26" s="40"/>
      <c r="J26" s="40"/>
      <c r="K26" s="40"/>
      <c r="L26" s="40"/>
      <c r="M26" s="40"/>
      <c r="N26" s="40"/>
      <c r="O26" s="40"/>
      <c r="P26" s="40"/>
      <c r="Q26" s="40"/>
      <c r="R26" s="40"/>
      <c r="S26" s="40"/>
      <c r="T26" s="40"/>
      <c r="U26" s="40"/>
      <c r="V26" s="40"/>
      <c r="W26" s="40"/>
      <c r="X26" s="40"/>
      <c r="Y26" s="40"/>
      <c r="Z26" s="47"/>
      <c r="AA26" s="40"/>
      <c r="AB26" s="40"/>
      <c r="AC26" s="40"/>
      <c r="AD26" s="40"/>
      <c r="AE26" s="40"/>
      <c r="AF26" s="205" t="str">
        <f t="shared" si="6"/>
        <v>paid break out</v>
      </c>
      <c r="AG26" s="188"/>
      <c r="AH26" s="213"/>
      <c r="AI26" s="214"/>
      <c r="AJ26" s="209"/>
      <c r="AK26" s="209"/>
      <c r="AL26" s="209"/>
      <c r="AM26" s="208"/>
      <c r="AN26" s="209"/>
      <c r="AO26" s="209"/>
      <c r="AP26" s="119"/>
    </row>
    <row r="27" spans="1:42" s="38" customFormat="1" ht="15" hidden="1" customHeight="1" outlineLevel="1" x14ac:dyDescent="0.2">
      <c r="A27" s="212" t="s">
        <v>164</v>
      </c>
      <c r="B27" s="40"/>
      <c r="C27" s="40"/>
      <c r="D27" s="40"/>
      <c r="E27" s="40"/>
      <c r="F27" s="40"/>
      <c r="G27" s="40"/>
      <c r="H27" s="40"/>
      <c r="I27" s="40"/>
      <c r="J27" s="40"/>
      <c r="K27" s="40"/>
      <c r="L27" s="40"/>
      <c r="M27" s="40"/>
      <c r="N27" s="40"/>
      <c r="O27" s="40"/>
      <c r="P27" s="40"/>
      <c r="Q27" s="40"/>
      <c r="R27" s="40"/>
      <c r="S27" s="40"/>
      <c r="T27" s="40"/>
      <c r="U27" s="40"/>
      <c r="V27" s="40"/>
      <c r="W27" s="40"/>
      <c r="X27" s="40"/>
      <c r="Y27" s="40"/>
      <c r="Z27" s="47"/>
      <c r="AA27" s="40"/>
      <c r="AB27" s="40"/>
      <c r="AC27" s="40"/>
      <c r="AD27" s="40"/>
      <c r="AE27" s="40"/>
      <c r="AF27" s="205" t="str">
        <f t="shared" si="6"/>
        <v>paid break in</v>
      </c>
      <c r="AG27" s="188"/>
      <c r="AH27" s="213"/>
      <c r="AI27" s="214"/>
      <c r="AJ27" s="209"/>
      <c r="AK27" s="209"/>
      <c r="AL27" s="209"/>
      <c r="AM27" s="208"/>
      <c r="AN27" s="209"/>
      <c r="AO27" s="209"/>
      <c r="AP27" s="119"/>
    </row>
    <row r="28" spans="1:42" s="38" customFormat="1" ht="15" hidden="1" customHeight="1" outlineLevel="1" x14ac:dyDescent="0.2">
      <c r="A28" s="212" t="s">
        <v>165</v>
      </c>
      <c r="B28" s="40"/>
      <c r="C28" s="40"/>
      <c r="D28" s="40"/>
      <c r="E28" s="40"/>
      <c r="F28" s="40"/>
      <c r="G28" s="40"/>
      <c r="H28" s="40"/>
      <c r="I28" s="40"/>
      <c r="J28" s="40"/>
      <c r="K28" s="40"/>
      <c r="L28" s="40"/>
      <c r="M28" s="40"/>
      <c r="N28" s="40"/>
      <c r="O28" s="40"/>
      <c r="P28" s="40"/>
      <c r="Q28" s="40"/>
      <c r="R28" s="40"/>
      <c r="S28" s="40"/>
      <c r="T28" s="40"/>
      <c r="U28" s="40"/>
      <c r="V28" s="40"/>
      <c r="W28" s="40"/>
      <c r="X28" s="40"/>
      <c r="Y28" s="40"/>
      <c r="Z28" s="47"/>
      <c r="AA28" s="40"/>
      <c r="AB28" s="40"/>
      <c r="AC28" s="40"/>
      <c r="AD28" s="40"/>
      <c r="AE28" s="40"/>
      <c r="AF28" s="205" t="str">
        <f t="shared" si="6"/>
        <v>paid break out</v>
      </c>
      <c r="AG28" s="188"/>
      <c r="AH28" s="213"/>
      <c r="AI28" s="214"/>
      <c r="AJ28" s="209"/>
      <c r="AK28" s="209"/>
      <c r="AL28" s="209"/>
      <c r="AM28" s="208"/>
      <c r="AN28" s="209"/>
      <c r="AO28" s="209"/>
      <c r="AP28" s="119"/>
    </row>
    <row r="29" spans="1:42" s="38" customFormat="1" ht="15" hidden="1" customHeight="1" outlineLevel="1" x14ac:dyDescent="0.2">
      <c r="A29" s="212" t="s">
        <v>164</v>
      </c>
      <c r="B29" s="40"/>
      <c r="C29" s="40"/>
      <c r="D29" s="40"/>
      <c r="E29" s="40"/>
      <c r="F29" s="40"/>
      <c r="G29" s="40"/>
      <c r="H29" s="40"/>
      <c r="I29" s="40"/>
      <c r="J29" s="40"/>
      <c r="K29" s="40"/>
      <c r="L29" s="40"/>
      <c r="M29" s="40"/>
      <c r="N29" s="40"/>
      <c r="O29" s="40"/>
      <c r="P29" s="40"/>
      <c r="Q29" s="40"/>
      <c r="R29" s="40"/>
      <c r="S29" s="40"/>
      <c r="T29" s="40"/>
      <c r="U29" s="40"/>
      <c r="V29" s="40"/>
      <c r="W29" s="40"/>
      <c r="X29" s="40"/>
      <c r="Y29" s="40"/>
      <c r="Z29" s="47"/>
      <c r="AA29" s="40"/>
      <c r="AB29" s="40"/>
      <c r="AC29" s="40"/>
      <c r="AD29" s="40"/>
      <c r="AE29" s="40"/>
      <c r="AF29" s="205" t="str">
        <f t="shared" si="6"/>
        <v>paid break in</v>
      </c>
      <c r="AG29" s="188"/>
      <c r="AH29" s="213"/>
      <c r="AI29" s="214"/>
      <c r="AJ29" s="209"/>
      <c r="AK29" s="209"/>
      <c r="AL29" s="209"/>
      <c r="AM29" s="208"/>
      <c r="AN29" s="209"/>
      <c r="AO29" s="209"/>
      <c r="AP29" s="119"/>
    </row>
    <row r="30" spans="1:42" s="38" customFormat="1" ht="15" hidden="1" customHeight="1" outlineLevel="1" x14ac:dyDescent="0.2">
      <c r="A30" s="212" t="s">
        <v>165</v>
      </c>
      <c r="B30" s="40"/>
      <c r="C30" s="40"/>
      <c r="D30" s="40"/>
      <c r="E30" s="40"/>
      <c r="F30" s="40"/>
      <c r="G30" s="40"/>
      <c r="H30" s="40"/>
      <c r="I30" s="40"/>
      <c r="J30" s="40"/>
      <c r="K30" s="40"/>
      <c r="L30" s="40"/>
      <c r="M30" s="40"/>
      <c r="N30" s="40"/>
      <c r="O30" s="40"/>
      <c r="P30" s="40"/>
      <c r="Q30" s="40"/>
      <c r="R30" s="40"/>
      <c r="S30" s="40"/>
      <c r="T30" s="40"/>
      <c r="U30" s="40"/>
      <c r="V30" s="40"/>
      <c r="W30" s="40"/>
      <c r="X30" s="40"/>
      <c r="Y30" s="40"/>
      <c r="Z30" s="47"/>
      <c r="AA30" s="40"/>
      <c r="AB30" s="40"/>
      <c r="AC30" s="40"/>
      <c r="AD30" s="40"/>
      <c r="AE30" s="40"/>
      <c r="AF30" s="205" t="str">
        <f t="shared" si="6"/>
        <v>paid break out</v>
      </c>
      <c r="AG30" s="188"/>
      <c r="AH30" s="213"/>
      <c r="AI30" s="214"/>
      <c r="AJ30" s="209"/>
      <c r="AK30" s="209"/>
      <c r="AL30" s="209"/>
      <c r="AM30" s="208"/>
      <c r="AN30" s="209"/>
      <c r="AO30" s="209"/>
      <c r="AP30" s="119"/>
    </row>
    <row r="31" spans="1:42" s="38" customFormat="1" ht="3.75" hidden="1" customHeight="1" outlineLevel="1" x14ac:dyDescent="0.2">
      <c r="A31" s="220"/>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05"/>
      <c r="AG31" s="188"/>
      <c r="AH31" s="213"/>
      <c r="AI31" s="214"/>
      <c r="AJ31" s="209"/>
      <c r="AK31" s="209"/>
      <c r="AL31" s="209"/>
      <c r="AM31" s="208"/>
      <c r="AN31" s="209"/>
      <c r="AO31" s="209"/>
      <c r="AP31" s="119"/>
    </row>
    <row r="32" spans="1:42" s="38" customFormat="1" ht="15" hidden="1" customHeight="1" outlineLevel="1" x14ac:dyDescent="0.2">
      <c r="A32" s="215" t="s">
        <v>205</v>
      </c>
      <c r="B32" s="225">
        <f>ROUND((IF(MAX(0,B15-B14)&lt;1/24/60*180,MAX(0,B15-B14),0)+IF(MAX(0,B17-B16)&lt;1/24/60*180,MAX(0,B17-B16),0)+IF(MAX(0,B19-B18)&lt;1/24/60*180,MAX(0,B19-B18),0)+IF(MAX(0,B21-B20)&lt;1/24/60*180,MAX(0,B21-B20))+MAX(0,B26-B25)+MAX(0,B28-B27)+MAX(0,B30-B29))*1440,0)/1440</f>
        <v>0</v>
      </c>
      <c r="C32" s="225">
        <f t="shared" ref="C32:AE32" si="7">ROUND((IF(MAX(0,C15-C14)&lt;1/24/60*180,MAX(0,C15-C14),0)+IF(MAX(0,C17-C16)&lt;1/24/60*180,MAX(0,C17-C16),0)+IF(MAX(0,C19-C18)&lt;1/24/60*180,MAX(0,C19-C18),0)+IF(MAX(0,C21-C20)&lt;1/24/60*180,MAX(0,C21-C20))+MAX(0,C26-C25)+MAX(0,C28-C27)+MAX(0,C30-C29))*1440,0)/1440</f>
        <v>0</v>
      </c>
      <c r="D32" s="225">
        <f t="shared" si="7"/>
        <v>0</v>
      </c>
      <c r="E32" s="225">
        <f t="shared" si="7"/>
        <v>0</v>
      </c>
      <c r="F32" s="225">
        <f t="shared" si="7"/>
        <v>0</v>
      </c>
      <c r="G32" s="225">
        <f t="shared" si="7"/>
        <v>0</v>
      </c>
      <c r="H32" s="225">
        <f t="shared" si="7"/>
        <v>0</v>
      </c>
      <c r="I32" s="225">
        <f t="shared" si="7"/>
        <v>0</v>
      </c>
      <c r="J32" s="225">
        <f t="shared" si="7"/>
        <v>0</v>
      </c>
      <c r="K32" s="225">
        <f t="shared" si="7"/>
        <v>0</v>
      </c>
      <c r="L32" s="225">
        <f t="shared" si="7"/>
        <v>0</v>
      </c>
      <c r="M32" s="225">
        <f t="shared" si="7"/>
        <v>0</v>
      </c>
      <c r="N32" s="225">
        <f t="shared" si="7"/>
        <v>0</v>
      </c>
      <c r="O32" s="225">
        <f t="shared" si="7"/>
        <v>0</v>
      </c>
      <c r="P32" s="225">
        <f t="shared" si="7"/>
        <v>0</v>
      </c>
      <c r="Q32" s="225">
        <f t="shared" si="7"/>
        <v>0</v>
      </c>
      <c r="R32" s="225">
        <f t="shared" si="7"/>
        <v>0</v>
      </c>
      <c r="S32" s="225">
        <f t="shared" si="7"/>
        <v>0</v>
      </c>
      <c r="T32" s="225">
        <f t="shared" si="7"/>
        <v>0</v>
      </c>
      <c r="U32" s="225">
        <f t="shared" si="7"/>
        <v>0</v>
      </c>
      <c r="V32" s="225">
        <f t="shared" si="7"/>
        <v>0</v>
      </c>
      <c r="W32" s="225">
        <f t="shared" si="7"/>
        <v>0</v>
      </c>
      <c r="X32" s="225">
        <f t="shared" si="7"/>
        <v>0</v>
      </c>
      <c r="Y32" s="225">
        <f t="shared" si="7"/>
        <v>0</v>
      </c>
      <c r="Z32" s="225">
        <f t="shared" si="7"/>
        <v>0</v>
      </c>
      <c r="AA32" s="225">
        <f t="shared" si="7"/>
        <v>0</v>
      </c>
      <c r="AB32" s="225">
        <f t="shared" si="7"/>
        <v>0</v>
      </c>
      <c r="AC32" s="225">
        <f t="shared" si="7"/>
        <v>0</v>
      </c>
      <c r="AD32" s="225">
        <f t="shared" si="7"/>
        <v>0</v>
      </c>
      <c r="AE32" s="225">
        <f t="shared" si="7"/>
        <v>0</v>
      </c>
      <c r="AF32" s="217" t="str">
        <f>A32</f>
        <v>Total breaks (in out/paid)</v>
      </c>
      <c r="AG32" s="218"/>
      <c r="AH32" s="219">
        <f>SUM(B32:AE32)</f>
        <v>0</v>
      </c>
      <c r="AI32" s="214"/>
      <c r="AJ32" s="209"/>
      <c r="AK32" s="209"/>
      <c r="AL32" s="209"/>
      <c r="AM32" s="208"/>
      <c r="AN32" s="209"/>
      <c r="AO32" s="209"/>
      <c r="AP32" s="119"/>
    </row>
    <row r="33" spans="1:42" s="38" customFormat="1" ht="3.75" customHeight="1" collapsed="1" x14ac:dyDescent="0.2">
      <c r="A33" s="220"/>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05"/>
      <c r="AG33" s="188"/>
      <c r="AH33" s="213"/>
      <c r="AI33" s="214"/>
      <c r="AJ33" s="209"/>
      <c r="AK33" s="209"/>
      <c r="AL33" s="209"/>
      <c r="AM33" s="208"/>
      <c r="AN33" s="209"/>
      <c r="AO33" s="209"/>
      <c r="AP33" s="119"/>
    </row>
    <row r="34" spans="1:42" s="38" customFormat="1" ht="15" customHeight="1" outlineLevel="1" x14ac:dyDescent="0.2">
      <c r="A34" s="212" t="s">
        <v>206</v>
      </c>
      <c r="B34" s="92" t="str">
        <f ca="1">IF(EB.Anwendung&lt;&gt;"",IF(EB.Wochenarbeitszeit=50/24,INDEX(T.Pikett.Bereich,1),IF(DAY(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34="B",INDEX(T.Pikett.Bereich,4),IF(A34="E",INDEX(T.Pikett.Bereich,1),A34)))),"")</f>
        <v>No</v>
      </c>
      <c r="C34" s="92" t="str">
        <f ca="1">IF(EB.Anwendung&lt;&gt;"",IF(EB.Wochenarbeitszeit=50/24,INDEX(T.Pikett.Bereich,1),IF(DAY(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B34="B",INDEX(T.Pikett.Bereich,4),IF(B34="E",INDEX(T.Pikett.Bereich,1),B34)))),"")</f>
        <v>No</v>
      </c>
      <c r="D34" s="92" t="str">
        <f ca="1">IF(EB.Anwendung&lt;&gt;"",IF(EB.Wochenarbeitszeit=50/24,INDEX(T.Pikett.Bereich,1),IF(DAY(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C34="B",INDEX(T.Pikett.Bereich,4),IF(C34="E",INDEX(T.Pikett.Bereich,1),C34)))),"")</f>
        <v>No</v>
      </c>
      <c r="E34" s="92" t="str">
        <f ca="1">IF(EB.Anwendung&lt;&gt;"",IF(EB.Wochenarbeitszeit=50/24,INDEX(T.Pikett.Bereich,1),IF(DAY(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D34="B",INDEX(T.Pikett.Bereich,4),IF(D34="E",INDEX(T.Pikett.Bereich,1),D34)))),"")</f>
        <v>No</v>
      </c>
      <c r="F34" s="92" t="str">
        <f ca="1">IF(EB.Anwendung&lt;&gt;"",IF(EB.Wochenarbeitszeit=50/24,INDEX(T.Pikett.Bereich,1),IF(DAY(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E34="B",INDEX(T.Pikett.Bereich,4),IF(E34="E",INDEX(T.Pikett.Bereich,1),E34)))),"")</f>
        <v>No</v>
      </c>
      <c r="G34" s="92" t="str">
        <f ca="1">IF(EB.Anwendung&lt;&gt;"",IF(EB.Wochenarbeitszeit=50/24,INDEX(T.Pikett.Bereich,1),IF(DAY(G$10)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F34="B",INDEX(T.Pikett.Bereich,4),IF(F34="E",INDEX(T.Pikett.Bereich,1),F34)))),"")</f>
        <v>No</v>
      </c>
      <c r="H34" s="92" t="str">
        <f ca="1">IF(EB.Anwendung&lt;&gt;"",IF(EB.Wochenarbeitszeit=50/24,INDEX(T.Pikett.Bereich,1),IF(DAY(H$10)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G34="B",INDEX(T.Pikett.Bereich,4),IF(G34="E",INDEX(T.Pikett.Bereich,1),G34)))),"")</f>
        <v>No</v>
      </c>
      <c r="I34" s="92" t="str">
        <f ca="1">IF(EB.Anwendung&lt;&gt;"",IF(EB.Wochenarbeitszeit=50/24,INDEX(T.Pikett.Bereich,1),IF(DAY(I$10)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H34="B",INDEX(T.Pikett.Bereich,4),IF(H34="E",INDEX(T.Pikett.Bereich,1),H34)))),"")</f>
        <v>No</v>
      </c>
      <c r="J34" s="92" t="str">
        <f ca="1">IF(EB.Anwendung&lt;&gt;"",IF(EB.Wochenarbeitszeit=50/24,INDEX(T.Pikett.Bereich,1),IF(DAY(J$10)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I34="B",INDEX(T.Pikett.Bereich,4),IF(I34="E",INDEX(T.Pikett.Bereich,1),I34)))),"")</f>
        <v>No</v>
      </c>
      <c r="K34" s="92" t="str">
        <f ca="1">IF(EB.Anwendung&lt;&gt;"",IF(EB.Wochenarbeitszeit=50/24,INDEX(T.Pikett.Bereich,1),IF(DAY(K$10)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J34="B",INDEX(T.Pikett.Bereich,4),IF(J34="E",INDEX(T.Pikett.Bereich,1),J34)))),"")</f>
        <v>No</v>
      </c>
      <c r="L34" s="92" t="str">
        <f ca="1">IF(EB.Anwendung&lt;&gt;"",IF(EB.Wochenarbeitszeit=50/24,INDEX(T.Pikett.Bereich,1),IF(DAY(L$10)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K34="B",INDEX(T.Pikett.Bereich,4),IF(K34="E",INDEX(T.Pikett.Bereich,1),K34)))),"")</f>
        <v>No</v>
      </c>
      <c r="M34" s="92" t="str">
        <f ca="1">IF(EB.Anwendung&lt;&gt;"",IF(EB.Wochenarbeitszeit=50/24,INDEX(T.Pikett.Bereich,1),IF(DAY(M$10)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L34="B",INDEX(T.Pikett.Bereich,4),IF(L34="E",INDEX(T.Pikett.Bereich,1),L34)))),"")</f>
        <v>No</v>
      </c>
      <c r="N34" s="92" t="str">
        <f ca="1">IF(EB.Anwendung&lt;&gt;"",IF(EB.Wochenarbeitszeit=50/24,INDEX(T.Pikett.Bereich,1),IF(DAY(N$10)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M34="B",INDEX(T.Pikett.Bereich,4),IF(M34="E",INDEX(T.Pikett.Bereich,1),M34)))),"")</f>
        <v>No</v>
      </c>
      <c r="O34" s="92" t="str">
        <f ca="1">IF(EB.Anwendung&lt;&gt;"",IF(EB.Wochenarbeitszeit=50/24,INDEX(T.Pikett.Bereich,1),IF(DAY(O$10)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N34="B",INDEX(T.Pikett.Bereich,4),IF(N34="E",INDEX(T.Pikett.Bereich,1),N34)))),"")</f>
        <v>No</v>
      </c>
      <c r="P34" s="92" t="str">
        <f ca="1">IF(EB.Anwendung&lt;&gt;"",IF(EB.Wochenarbeitszeit=50/24,INDEX(T.Pikett.Bereich,1),IF(DAY(P$10)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O34="B",INDEX(T.Pikett.Bereich,4),IF(O34="E",INDEX(T.Pikett.Bereich,1),O34)))),"")</f>
        <v>No</v>
      </c>
      <c r="Q34" s="92" t="str">
        <f ca="1">IF(EB.Anwendung&lt;&gt;"",IF(EB.Wochenarbeitszeit=50/24,INDEX(T.Pikett.Bereich,1),IF(DAY(Q$10)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P34="B",INDEX(T.Pikett.Bereich,4),IF(P34="E",INDEX(T.Pikett.Bereich,1),P34)))),"")</f>
        <v>No</v>
      </c>
      <c r="R34" s="92" t="str">
        <f ca="1">IF(EB.Anwendung&lt;&gt;"",IF(EB.Wochenarbeitszeit=50/24,INDEX(T.Pikett.Bereich,1),IF(DAY(R$10)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Q34="B",INDEX(T.Pikett.Bereich,4),IF(Q34="E",INDEX(T.Pikett.Bereich,1),Q34)))),"")</f>
        <v>No</v>
      </c>
      <c r="S34" s="92" t="str">
        <f ca="1">IF(EB.Anwendung&lt;&gt;"",IF(EB.Wochenarbeitszeit=50/24,INDEX(T.Pikett.Bereich,1),IF(DAY(S$10)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R34="B",INDEX(T.Pikett.Bereich,4),IF(R34="E",INDEX(T.Pikett.Bereich,1),R34)))),"")</f>
        <v>No</v>
      </c>
      <c r="T34" s="92" t="str">
        <f ca="1">IF(EB.Anwendung&lt;&gt;"",IF(EB.Wochenarbeitszeit=50/24,INDEX(T.Pikett.Bereich,1),IF(DAY(T$10)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S34="B",INDEX(T.Pikett.Bereich,4),IF(S34="E",INDEX(T.Pikett.Bereich,1),S34)))),"")</f>
        <v>No</v>
      </c>
      <c r="U34" s="92" t="str">
        <f ca="1">IF(EB.Anwendung&lt;&gt;"",IF(EB.Wochenarbeitszeit=50/24,INDEX(T.Pikett.Bereich,1),IF(DAY(U$10)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T34="B",INDEX(T.Pikett.Bereich,4),IF(T34="E",INDEX(T.Pikett.Bereich,1),T34)))),"")</f>
        <v>No</v>
      </c>
      <c r="V34" s="92" t="str">
        <f ca="1">IF(EB.Anwendung&lt;&gt;"",IF(EB.Wochenarbeitszeit=50/24,INDEX(T.Pikett.Bereich,1),IF(DAY(V$10)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U34="B",INDEX(T.Pikett.Bereich,4),IF(U34="E",INDEX(T.Pikett.Bereich,1),U34)))),"")</f>
        <v>No</v>
      </c>
      <c r="W34" s="92" t="str">
        <f ca="1">IF(EB.Anwendung&lt;&gt;"",IF(EB.Wochenarbeitszeit=50/24,INDEX(T.Pikett.Bereich,1),IF(DAY(W$10)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V34="B",INDEX(T.Pikett.Bereich,4),IF(V34="E",INDEX(T.Pikett.Bereich,1),V34)))),"")</f>
        <v>No</v>
      </c>
      <c r="X34" s="92" t="str">
        <f ca="1">IF(EB.Anwendung&lt;&gt;"",IF(EB.Wochenarbeitszeit=50/24,INDEX(T.Pikett.Bereich,1),IF(DAY(X$10)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W34="B",INDEX(T.Pikett.Bereich,4),IF(W34="E",INDEX(T.Pikett.Bereich,1),W34)))),"")</f>
        <v>No</v>
      </c>
      <c r="Y34" s="92" t="str">
        <f ca="1">IF(EB.Anwendung&lt;&gt;"",IF(EB.Wochenarbeitszeit=50/24,INDEX(T.Pikett.Bereich,1),IF(DAY(Y$10)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X34="B",INDEX(T.Pikett.Bereich,4),IF(X34="E",INDEX(T.Pikett.Bereich,1),X34)))),"")</f>
        <v>No</v>
      </c>
      <c r="Z34" s="92" t="str">
        <f ca="1">IF(EB.Anwendung&lt;&gt;"",IF(EB.Wochenarbeitszeit=50/24,INDEX(T.Pikett.Bereich,1),IF(DAY(Z$10)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Y34="B",INDEX(T.Pikett.Bereich,4),IF(Y34="E",INDEX(T.Pikett.Bereich,1),Y34)))),"")</f>
        <v>No</v>
      </c>
      <c r="AA34" s="92" t="str">
        <f ca="1">IF(EB.Anwendung&lt;&gt;"",IF(EB.Wochenarbeitszeit=50/24,INDEX(T.Pikett.Bereich,1),IF(DAY(AA$10)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Z34="B",INDEX(T.Pikett.Bereich,4),IF(Z34="E",INDEX(T.Pikett.Bereich,1),Z34)))),"")</f>
        <v>No</v>
      </c>
      <c r="AB34" s="92" t="str">
        <f ca="1">IF(EB.Anwendung&lt;&gt;"",IF(EB.Wochenarbeitszeit=50/24,INDEX(T.Pikett.Bereich,1),IF(DAY(A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A34="B",INDEX(T.Pikett.Bereich,4),IF(AA34="E",INDEX(T.Pikett.Bereich,1),AA34)))),"")</f>
        <v>No</v>
      </c>
      <c r="AC34" s="92" t="str">
        <f ca="1">IF(EB.Anwendung&lt;&gt;"",IF(EB.Wochenarbeitszeit=50/24,INDEX(T.Pikett.Bereich,1),IF(DAY(A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B34="B",INDEX(T.Pikett.Bereich,4),IF(AB34="E",INDEX(T.Pikett.Bereich,1),AB34)))),"")</f>
        <v>No</v>
      </c>
      <c r="AD34" s="92" t="str">
        <f ca="1">IF(EB.Anwendung&lt;&gt;"",IF(EB.Wochenarbeitszeit=50/24,INDEX(T.Pikett.Bereich,1),IF(DAY(A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C34="B",INDEX(T.Pikett.Bereich,4),IF(AC34="E",INDEX(T.Pikett.Bereich,1),AC34)))),"")</f>
        <v>No</v>
      </c>
      <c r="AE34" s="92" t="str">
        <f ca="1">IF(EB.Anwendung&lt;&gt;"",IF(EB.Wochenarbeitszeit=50/24,INDEX(T.Pikett.Bereich,1),IF(DAY(A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D34="B",INDEX(T.Pikett.Bereich,4),IF(AD34="E",INDEX(T.Pikett.Bereich,1),AD34)))),"")</f>
        <v>No</v>
      </c>
      <c r="AF34" s="217" t="str">
        <f ca="1">IF(OFFSET(B34,0,DAY(EOMONTH(Monat.Tag1,0))-1,1,1)="B",INDEX(T.Pikett.Bereich,4),IF(OFFSET(B34,0,DAY(EOMONTH(Monat.Tag1,0))-1,1,1)="E",INDEX(T.Pikett.Bereich,1),OFFSET(B34,0,DAY(EOMONTH(Monat.Tag1,0))-1,1,1)))</f>
        <v>No</v>
      </c>
      <c r="AG34" s="228"/>
      <c r="AH34" s="224"/>
      <c r="AI34" s="229" t="str">
        <f ca="1">IF(T.50_Vetsuisse,IFERROR(SUMPRODUCT((B34:AE34=INDEX(T.Pikett.Bereich,4))*((B49:AE49)&lt;1/24*5)),0) &amp; " / " &amp; IFERROR(SUMPRODUCT((B34:AE34=INDEX(T.Pikett.Bereich,4))*((B49:AE49)&gt;=1/24*5)),0) &amp; " / " &amp; IFERROR(SUMPRODUCT((B34:AE34=INDEX(T.Pikett.Bereich,4))*((B49:AE49)&lt;1/24*5)),0) + IFERROR(SUMPRODUCT((B34:AE34=INDEX(T.Pikett.Bereich,4))*((B49:AE49)&gt;=1/24*5)),0),
IFERROR(SUMPRODUCT((B34:AE34=INDEX(T.Pikett.Bereich,4))*(WEEKDAY(B10:AE10,2)&lt;6)*(B11:AE11&lt;&gt;0)),0) &amp; " / " &amp; IFERROR(SUMPRODUCT((B34:AE34=INDEX(T.Pikett.Bereich,4))*(WEEKDAY(B10:AE10,2)&gt;5)*(B11:AE11&lt;&gt;0))+SUMPRODUCT((B34:AE34=INDEX(T.Pikett.Bereich,4))*(B11:AE11=0)),0) &amp; " / " &amp; IFERROR(SUMPRODUCT((B34:AE34=INDEX(T.Pikett.Bereich,4))*(WEEKDAY(B10:AE10,2)&lt;6)*(B11:AE11&lt;&gt;0)),0) + IFERROR(SUMPRODUCT((B34:AE34=INDEX(T.Pikett.Bereich,4))*(WEEKDAY(B10:AE10,2)&gt;5)*(B11:AE11&lt;&gt;0))+SUMPRODUCT((B34:AE34=INDEX(T.Pikett.Bereich,4))*(B11:AE11=0)),0))</f>
        <v>0 / 0 / 0</v>
      </c>
      <c r="AJ34" s="209"/>
      <c r="AK34" s="209"/>
      <c r="AL34" s="209"/>
      <c r="AM34" s="208"/>
      <c r="AN34" s="209"/>
      <c r="AO34" s="209"/>
      <c r="AP34" s="119"/>
    </row>
    <row r="35" spans="1:42" s="38" customFormat="1" ht="15" customHeight="1" outlineLevel="1" x14ac:dyDescent="0.2">
      <c r="A35" s="212" t="s">
        <v>74</v>
      </c>
      <c r="B35" s="40"/>
      <c r="C35" s="40"/>
      <c r="D35" s="40"/>
      <c r="E35" s="27"/>
      <c r="F35" s="40"/>
      <c r="G35" s="40"/>
      <c r="H35" s="40"/>
      <c r="I35" s="40"/>
      <c r="J35" s="27"/>
      <c r="K35" s="40"/>
      <c r="L35" s="27"/>
      <c r="M35" s="40"/>
      <c r="N35" s="40"/>
      <c r="O35" s="40"/>
      <c r="P35" s="40"/>
      <c r="Q35" s="27"/>
      <c r="R35" s="40"/>
      <c r="S35" s="27"/>
      <c r="T35" s="27"/>
      <c r="U35" s="40"/>
      <c r="V35" s="40"/>
      <c r="W35" s="40"/>
      <c r="X35" s="27"/>
      <c r="Y35" s="40"/>
      <c r="Z35" s="39"/>
      <c r="AA35" s="40"/>
      <c r="AB35" s="40"/>
      <c r="AC35" s="40"/>
      <c r="AD35" s="40"/>
      <c r="AE35" s="27"/>
      <c r="AF35" s="205" t="str">
        <f t="shared" ref="AF35:AF45" si="8">A35</f>
        <v>in</v>
      </c>
      <c r="AG35" s="188"/>
      <c r="AH35" s="213"/>
      <c r="AI35" s="214"/>
      <c r="AJ35" s="209"/>
      <c r="AK35" s="209"/>
      <c r="AL35" s="209"/>
      <c r="AM35" s="208"/>
      <c r="AN35" s="209"/>
      <c r="AO35" s="209"/>
      <c r="AP35" s="119"/>
    </row>
    <row r="36" spans="1:42" s="38" customFormat="1" ht="15" customHeight="1" outlineLevel="1" x14ac:dyDescent="0.2">
      <c r="A36" s="212" t="s">
        <v>75</v>
      </c>
      <c r="B36" s="40"/>
      <c r="C36" s="40"/>
      <c r="D36" s="40"/>
      <c r="E36" s="27"/>
      <c r="F36" s="40"/>
      <c r="G36" s="40"/>
      <c r="H36" s="40"/>
      <c r="I36" s="40"/>
      <c r="J36" s="27"/>
      <c r="K36" s="40"/>
      <c r="L36" s="27"/>
      <c r="M36" s="40"/>
      <c r="N36" s="40"/>
      <c r="O36" s="40"/>
      <c r="P36" s="40"/>
      <c r="Q36" s="27"/>
      <c r="R36" s="40"/>
      <c r="S36" s="27"/>
      <c r="T36" s="27"/>
      <c r="U36" s="40"/>
      <c r="V36" s="40"/>
      <c r="W36" s="40"/>
      <c r="X36" s="27"/>
      <c r="Y36" s="40"/>
      <c r="Z36" s="39"/>
      <c r="AA36" s="40"/>
      <c r="AB36" s="40"/>
      <c r="AC36" s="40"/>
      <c r="AD36" s="40"/>
      <c r="AE36" s="27"/>
      <c r="AF36" s="205" t="str">
        <f t="shared" si="8"/>
        <v>out</v>
      </c>
      <c r="AG36" s="188"/>
      <c r="AH36" s="213"/>
      <c r="AI36" s="214"/>
      <c r="AJ36" s="209"/>
      <c r="AK36" s="209"/>
      <c r="AL36" s="209"/>
      <c r="AM36" s="208"/>
      <c r="AN36" s="209"/>
      <c r="AO36" s="209"/>
      <c r="AP36" s="119"/>
    </row>
    <row r="37" spans="1:42" s="38" customFormat="1" ht="15" customHeight="1" outlineLevel="1" x14ac:dyDescent="0.2">
      <c r="A37" s="212" t="s">
        <v>74</v>
      </c>
      <c r="B37" s="40"/>
      <c r="C37" s="40"/>
      <c r="D37" s="40"/>
      <c r="E37" s="27"/>
      <c r="F37" s="40"/>
      <c r="G37" s="40"/>
      <c r="H37" s="40"/>
      <c r="I37" s="40"/>
      <c r="J37" s="27"/>
      <c r="K37" s="40"/>
      <c r="L37" s="27"/>
      <c r="M37" s="40"/>
      <c r="N37" s="40"/>
      <c r="O37" s="40"/>
      <c r="P37" s="40"/>
      <c r="Q37" s="27"/>
      <c r="R37" s="40"/>
      <c r="S37" s="27"/>
      <c r="T37" s="27"/>
      <c r="U37" s="40"/>
      <c r="V37" s="40"/>
      <c r="W37" s="40"/>
      <c r="X37" s="27"/>
      <c r="Y37" s="40"/>
      <c r="Z37" s="39"/>
      <c r="AA37" s="40"/>
      <c r="AB37" s="40"/>
      <c r="AC37" s="40"/>
      <c r="AD37" s="40"/>
      <c r="AE37" s="27"/>
      <c r="AF37" s="205" t="str">
        <f t="shared" si="8"/>
        <v>in</v>
      </c>
      <c r="AG37" s="188"/>
      <c r="AH37" s="213"/>
      <c r="AI37" s="214"/>
      <c r="AJ37" s="209"/>
      <c r="AK37" s="209"/>
      <c r="AL37" s="209"/>
      <c r="AM37" s="208"/>
      <c r="AN37" s="209"/>
      <c r="AO37" s="209"/>
      <c r="AP37" s="119"/>
    </row>
    <row r="38" spans="1:42" s="38" customFormat="1" ht="15" customHeight="1" outlineLevel="1" x14ac:dyDescent="0.2">
      <c r="A38" s="212" t="s">
        <v>75</v>
      </c>
      <c r="B38" s="40"/>
      <c r="C38" s="40"/>
      <c r="D38" s="40"/>
      <c r="E38" s="27"/>
      <c r="F38" s="40"/>
      <c r="G38" s="40"/>
      <c r="H38" s="40"/>
      <c r="I38" s="40"/>
      <c r="J38" s="27"/>
      <c r="K38" s="40"/>
      <c r="L38" s="27"/>
      <c r="M38" s="40"/>
      <c r="N38" s="40"/>
      <c r="O38" s="40"/>
      <c r="P38" s="40"/>
      <c r="Q38" s="27"/>
      <c r="R38" s="40"/>
      <c r="S38" s="27"/>
      <c r="T38" s="27"/>
      <c r="U38" s="40"/>
      <c r="V38" s="40"/>
      <c r="W38" s="40"/>
      <c r="X38" s="27"/>
      <c r="Y38" s="40"/>
      <c r="Z38" s="39"/>
      <c r="AA38" s="40"/>
      <c r="AB38" s="40"/>
      <c r="AC38" s="40"/>
      <c r="AD38" s="40"/>
      <c r="AE38" s="27"/>
      <c r="AF38" s="205" t="str">
        <f t="shared" si="8"/>
        <v>out</v>
      </c>
      <c r="AG38" s="188"/>
      <c r="AH38" s="213"/>
      <c r="AI38" s="214"/>
      <c r="AJ38" s="209"/>
      <c r="AK38" s="209"/>
      <c r="AL38" s="209"/>
      <c r="AM38" s="208"/>
      <c r="AN38" s="209"/>
      <c r="AO38" s="209"/>
      <c r="AP38" s="119"/>
    </row>
    <row r="39" spans="1:42" s="38" customFormat="1" ht="15" customHeight="1" outlineLevel="1" x14ac:dyDescent="0.2">
      <c r="A39" s="212" t="s">
        <v>74</v>
      </c>
      <c r="B39" s="40"/>
      <c r="C39" s="40"/>
      <c r="D39" s="40"/>
      <c r="E39" s="27"/>
      <c r="F39" s="40"/>
      <c r="G39" s="40"/>
      <c r="H39" s="40"/>
      <c r="I39" s="40"/>
      <c r="J39" s="27"/>
      <c r="K39" s="40"/>
      <c r="L39" s="27"/>
      <c r="M39" s="40"/>
      <c r="N39" s="40"/>
      <c r="O39" s="40"/>
      <c r="P39" s="40"/>
      <c r="Q39" s="27"/>
      <c r="R39" s="40"/>
      <c r="S39" s="27"/>
      <c r="T39" s="27"/>
      <c r="U39" s="40"/>
      <c r="V39" s="40"/>
      <c r="W39" s="40"/>
      <c r="X39" s="27"/>
      <c r="Y39" s="40"/>
      <c r="Z39" s="39"/>
      <c r="AA39" s="40"/>
      <c r="AB39" s="40"/>
      <c r="AC39" s="40"/>
      <c r="AD39" s="40"/>
      <c r="AE39" s="27"/>
      <c r="AF39" s="205" t="str">
        <f t="shared" si="8"/>
        <v>in</v>
      </c>
      <c r="AG39" s="188"/>
      <c r="AH39" s="213"/>
      <c r="AI39" s="214"/>
      <c r="AJ39" s="209"/>
      <c r="AK39" s="209"/>
      <c r="AL39" s="209"/>
      <c r="AM39" s="208"/>
      <c r="AN39" s="209"/>
      <c r="AO39" s="209"/>
      <c r="AP39" s="119"/>
    </row>
    <row r="40" spans="1:42" s="38" customFormat="1" ht="15" customHeight="1" outlineLevel="1" x14ac:dyDescent="0.2">
      <c r="A40" s="212" t="s">
        <v>75</v>
      </c>
      <c r="B40" s="40"/>
      <c r="C40" s="40"/>
      <c r="D40" s="40"/>
      <c r="E40" s="27"/>
      <c r="F40" s="40"/>
      <c r="G40" s="40"/>
      <c r="H40" s="40"/>
      <c r="I40" s="40"/>
      <c r="J40" s="27"/>
      <c r="K40" s="40"/>
      <c r="L40" s="27"/>
      <c r="M40" s="40"/>
      <c r="N40" s="40"/>
      <c r="O40" s="40"/>
      <c r="P40" s="40"/>
      <c r="Q40" s="27"/>
      <c r="R40" s="40"/>
      <c r="S40" s="27"/>
      <c r="T40" s="27"/>
      <c r="U40" s="40"/>
      <c r="V40" s="40"/>
      <c r="W40" s="40"/>
      <c r="X40" s="27"/>
      <c r="Y40" s="40"/>
      <c r="Z40" s="39"/>
      <c r="AA40" s="40"/>
      <c r="AB40" s="40"/>
      <c r="AC40" s="40"/>
      <c r="AD40" s="40"/>
      <c r="AE40" s="27"/>
      <c r="AF40" s="205" t="str">
        <f t="shared" si="8"/>
        <v>out</v>
      </c>
      <c r="AG40" s="188"/>
      <c r="AH40" s="213"/>
      <c r="AI40" s="214"/>
      <c r="AJ40" s="209"/>
      <c r="AK40" s="209"/>
      <c r="AL40" s="209"/>
      <c r="AM40" s="208"/>
      <c r="AN40" s="209"/>
      <c r="AO40" s="209"/>
      <c r="AP40" s="119"/>
    </row>
    <row r="41" spans="1:42" s="38" customFormat="1" ht="15" hidden="1" customHeight="1" outlineLevel="1" x14ac:dyDescent="0.2">
      <c r="A41" s="212" t="s">
        <v>74</v>
      </c>
      <c r="B41" s="40"/>
      <c r="C41" s="40"/>
      <c r="D41" s="40"/>
      <c r="E41" s="27"/>
      <c r="F41" s="40"/>
      <c r="G41" s="40"/>
      <c r="H41" s="40"/>
      <c r="I41" s="40"/>
      <c r="J41" s="27"/>
      <c r="K41" s="40"/>
      <c r="L41" s="27"/>
      <c r="M41" s="40"/>
      <c r="N41" s="40"/>
      <c r="O41" s="40"/>
      <c r="P41" s="40"/>
      <c r="Q41" s="27"/>
      <c r="R41" s="40"/>
      <c r="S41" s="27"/>
      <c r="T41" s="27"/>
      <c r="U41" s="40"/>
      <c r="V41" s="40"/>
      <c r="W41" s="40"/>
      <c r="X41" s="27"/>
      <c r="Y41" s="40"/>
      <c r="Z41" s="39"/>
      <c r="AA41" s="40"/>
      <c r="AB41" s="40"/>
      <c r="AC41" s="40"/>
      <c r="AD41" s="40"/>
      <c r="AE41" s="27"/>
      <c r="AF41" s="205" t="str">
        <f t="shared" si="8"/>
        <v>in</v>
      </c>
      <c r="AG41" s="188"/>
      <c r="AH41" s="213"/>
      <c r="AI41" s="214"/>
      <c r="AJ41" s="209"/>
      <c r="AK41" s="209"/>
      <c r="AL41" s="209"/>
      <c r="AM41" s="208"/>
      <c r="AN41" s="209"/>
      <c r="AO41" s="209"/>
      <c r="AP41" s="119"/>
    </row>
    <row r="42" spans="1:42" s="38" customFormat="1" ht="15" hidden="1" customHeight="1" outlineLevel="1" x14ac:dyDescent="0.2">
      <c r="A42" s="212" t="s">
        <v>75</v>
      </c>
      <c r="B42" s="40"/>
      <c r="C42" s="40"/>
      <c r="D42" s="40"/>
      <c r="E42" s="27"/>
      <c r="F42" s="40"/>
      <c r="G42" s="40"/>
      <c r="H42" s="40"/>
      <c r="I42" s="40"/>
      <c r="J42" s="27"/>
      <c r="K42" s="40"/>
      <c r="L42" s="27"/>
      <c r="M42" s="40"/>
      <c r="N42" s="40"/>
      <c r="O42" s="40"/>
      <c r="P42" s="40"/>
      <c r="Q42" s="27"/>
      <c r="R42" s="40"/>
      <c r="S42" s="27"/>
      <c r="T42" s="27"/>
      <c r="U42" s="40"/>
      <c r="V42" s="40"/>
      <c r="W42" s="40"/>
      <c r="X42" s="27"/>
      <c r="Y42" s="40"/>
      <c r="Z42" s="39"/>
      <c r="AA42" s="40"/>
      <c r="AB42" s="40"/>
      <c r="AC42" s="40"/>
      <c r="AD42" s="40"/>
      <c r="AE42" s="27"/>
      <c r="AF42" s="205" t="str">
        <f t="shared" si="8"/>
        <v>out</v>
      </c>
      <c r="AG42" s="188"/>
      <c r="AH42" s="213"/>
      <c r="AI42" s="214"/>
      <c r="AJ42" s="209"/>
      <c r="AK42" s="209"/>
      <c r="AL42" s="209"/>
      <c r="AM42" s="208"/>
      <c r="AN42" s="209"/>
      <c r="AO42" s="209"/>
      <c r="AP42" s="119"/>
    </row>
    <row r="43" spans="1:42" s="38" customFormat="1" ht="15" hidden="1" customHeight="1" outlineLevel="1" x14ac:dyDescent="0.2">
      <c r="A43" s="212" t="s">
        <v>74</v>
      </c>
      <c r="B43" s="40"/>
      <c r="C43" s="40"/>
      <c r="D43" s="40"/>
      <c r="E43" s="27"/>
      <c r="F43" s="40"/>
      <c r="G43" s="40"/>
      <c r="H43" s="40"/>
      <c r="I43" s="40"/>
      <c r="J43" s="27"/>
      <c r="K43" s="40"/>
      <c r="L43" s="27"/>
      <c r="M43" s="40"/>
      <c r="N43" s="40"/>
      <c r="O43" s="40"/>
      <c r="P43" s="40"/>
      <c r="Q43" s="27"/>
      <c r="R43" s="40"/>
      <c r="S43" s="27"/>
      <c r="T43" s="27"/>
      <c r="U43" s="40"/>
      <c r="V43" s="40"/>
      <c r="W43" s="40"/>
      <c r="X43" s="27"/>
      <c r="Y43" s="40"/>
      <c r="Z43" s="39"/>
      <c r="AA43" s="40"/>
      <c r="AB43" s="40"/>
      <c r="AC43" s="40"/>
      <c r="AD43" s="40"/>
      <c r="AE43" s="27"/>
      <c r="AF43" s="205" t="str">
        <f t="shared" si="8"/>
        <v>in</v>
      </c>
      <c r="AG43" s="188"/>
      <c r="AH43" s="213"/>
      <c r="AI43" s="214"/>
      <c r="AJ43" s="209"/>
      <c r="AK43" s="209"/>
      <c r="AL43" s="209"/>
      <c r="AM43" s="208"/>
      <c r="AN43" s="209"/>
      <c r="AO43" s="209"/>
      <c r="AP43" s="119"/>
    </row>
    <row r="44" spans="1:42" s="38" customFormat="1" ht="15" hidden="1" customHeight="1" outlineLevel="1" x14ac:dyDescent="0.2">
      <c r="A44" s="212" t="s">
        <v>75</v>
      </c>
      <c r="B44" s="40"/>
      <c r="C44" s="40"/>
      <c r="D44" s="40"/>
      <c r="E44" s="27"/>
      <c r="F44" s="40"/>
      <c r="G44" s="40"/>
      <c r="H44" s="40"/>
      <c r="I44" s="40"/>
      <c r="J44" s="27"/>
      <c r="K44" s="40"/>
      <c r="L44" s="27"/>
      <c r="M44" s="40"/>
      <c r="N44" s="40"/>
      <c r="O44" s="40"/>
      <c r="P44" s="40"/>
      <c r="Q44" s="27"/>
      <c r="R44" s="40"/>
      <c r="S44" s="27"/>
      <c r="T44" s="27"/>
      <c r="U44" s="40"/>
      <c r="V44" s="40"/>
      <c r="W44" s="40"/>
      <c r="X44" s="27"/>
      <c r="Y44" s="40"/>
      <c r="Z44" s="39"/>
      <c r="AA44" s="40"/>
      <c r="AB44" s="40"/>
      <c r="AC44" s="40"/>
      <c r="AD44" s="40"/>
      <c r="AE44" s="27"/>
      <c r="AF44" s="205" t="str">
        <f t="shared" si="8"/>
        <v>out</v>
      </c>
      <c r="AG44" s="188"/>
      <c r="AH44" s="213"/>
      <c r="AI44" s="214"/>
      <c r="AJ44" s="209"/>
      <c r="AK44" s="209"/>
      <c r="AL44" s="209"/>
      <c r="AM44" s="208"/>
      <c r="AN44" s="209"/>
      <c r="AO44" s="209"/>
      <c r="AP44" s="119"/>
    </row>
    <row r="45" spans="1:42" s="38" customFormat="1" ht="15" customHeight="1" outlineLevel="1" x14ac:dyDescent="0.2">
      <c r="A45" s="215" t="s">
        <v>207</v>
      </c>
      <c r="B45" s="216">
        <f>ROUND(((B36-B35)+(B38-B37)+(B40-B39)+(B42-B41)+(B44-B43))*1440,0)/1440</f>
        <v>0</v>
      </c>
      <c r="C45" s="216">
        <f t="shared" ref="C45:AE45" si="9">ROUND(((C36-C35)+(C38-C37)+(C40-C39)+(C42-C41)+(C44-C43))*1440,0)/1440</f>
        <v>0</v>
      </c>
      <c r="D45" s="216">
        <f t="shared" si="9"/>
        <v>0</v>
      </c>
      <c r="E45" s="216">
        <f t="shared" si="9"/>
        <v>0</v>
      </c>
      <c r="F45" s="216">
        <f t="shared" si="9"/>
        <v>0</v>
      </c>
      <c r="G45" s="216">
        <f t="shared" si="9"/>
        <v>0</v>
      </c>
      <c r="H45" s="216">
        <f t="shared" si="9"/>
        <v>0</v>
      </c>
      <c r="I45" s="216">
        <f t="shared" si="9"/>
        <v>0</v>
      </c>
      <c r="J45" s="216">
        <f t="shared" si="9"/>
        <v>0</v>
      </c>
      <c r="K45" s="216">
        <f t="shared" si="9"/>
        <v>0</v>
      </c>
      <c r="L45" s="216">
        <f t="shared" si="9"/>
        <v>0</v>
      </c>
      <c r="M45" s="216">
        <f t="shared" si="9"/>
        <v>0</v>
      </c>
      <c r="N45" s="216">
        <f t="shared" si="9"/>
        <v>0</v>
      </c>
      <c r="O45" s="216">
        <f t="shared" si="9"/>
        <v>0</v>
      </c>
      <c r="P45" s="216">
        <f t="shared" si="9"/>
        <v>0</v>
      </c>
      <c r="Q45" s="216">
        <f t="shared" si="9"/>
        <v>0</v>
      </c>
      <c r="R45" s="216">
        <f t="shared" si="9"/>
        <v>0</v>
      </c>
      <c r="S45" s="216">
        <f t="shared" si="9"/>
        <v>0</v>
      </c>
      <c r="T45" s="216">
        <f t="shared" si="9"/>
        <v>0</v>
      </c>
      <c r="U45" s="216">
        <f t="shared" si="9"/>
        <v>0</v>
      </c>
      <c r="V45" s="216">
        <f t="shared" si="9"/>
        <v>0</v>
      </c>
      <c r="W45" s="216">
        <f t="shared" si="9"/>
        <v>0</v>
      </c>
      <c r="X45" s="216">
        <f t="shared" si="9"/>
        <v>0</v>
      </c>
      <c r="Y45" s="216">
        <f t="shared" si="9"/>
        <v>0</v>
      </c>
      <c r="Z45" s="216">
        <f t="shared" si="9"/>
        <v>0</v>
      </c>
      <c r="AA45" s="216">
        <f t="shared" si="9"/>
        <v>0</v>
      </c>
      <c r="AB45" s="216">
        <f t="shared" si="9"/>
        <v>0</v>
      </c>
      <c r="AC45" s="216">
        <f t="shared" si="9"/>
        <v>0</v>
      </c>
      <c r="AD45" s="216">
        <f t="shared" si="9"/>
        <v>0</v>
      </c>
      <c r="AE45" s="216">
        <f t="shared" si="9"/>
        <v>0</v>
      </c>
      <c r="AF45" s="217" t="str">
        <f t="shared" si="8"/>
        <v>Total on call standby in/out</v>
      </c>
      <c r="AG45" s="218"/>
      <c r="AH45" s="219">
        <f>SUM(B45:AE45)</f>
        <v>0</v>
      </c>
      <c r="AI45" s="214"/>
      <c r="AJ45" s="209"/>
      <c r="AK45" s="209"/>
      <c r="AL45" s="209"/>
      <c r="AM45" s="208"/>
      <c r="AN45" s="209"/>
      <c r="AO45" s="209"/>
      <c r="AP45" s="119"/>
    </row>
    <row r="46" spans="1:42" s="38" customFormat="1" ht="3.75" customHeight="1" x14ac:dyDescent="0.2">
      <c r="A46" s="220"/>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205"/>
      <c r="AG46" s="188"/>
      <c r="AH46" s="213"/>
      <c r="AI46" s="214"/>
      <c r="AJ46" s="209"/>
      <c r="AK46" s="209"/>
      <c r="AL46" s="209"/>
      <c r="AM46" s="208"/>
      <c r="AN46" s="209"/>
      <c r="AO46" s="209"/>
      <c r="AP46" s="119"/>
    </row>
    <row r="47" spans="1:42" s="38" customFormat="1" ht="16.5" hidden="1" customHeight="1" outlineLevel="1" x14ac:dyDescent="0.2">
      <c r="A47" s="215" t="s">
        <v>209</v>
      </c>
      <c r="B47" s="216">
        <f t="shared" ref="B47:AE47" si="10">IF(B45&gt;0,ROUND((B45-
IF(B35&lt;T.PikettVetsuissebis,MIN(T.PikettVetsuissebis-B35,B36-B35)+IF(B37&lt;T.PikettVetsuissebis,MIN(T.PikettVetsuissebis-B37,B38-B37)+IF(B39&lt;T.PikettVetsuissebis,MIN(T.PikettVetsuissebis-B39,B40-B39)+IF(B41&lt;T.PikettVetsuissebis,MIN(T.PikettVetsuissebis-B41,B42-B41)+IF(B43&lt;T.PikettVetsuissebis,MIN(T.PikettVetsuissebis-B43,B44-B43),0),0),0),0),0))*1440,0)/1440,0)</f>
        <v>0</v>
      </c>
      <c r="C47" s="216">
        <f t="shared" si="10"/>
        <v>0</v>
      </c>
      <c r="D47" s="216">
        <f t="shared" si="10"/>
        <v>0</v>
      </c>
      <c r="E47" s="216">
        <f t="shared" si="10"/>
        <v>0</v>
      </c>
      <c r="F47" s="216">
        <f t="shared" si="10"/>
        <v>0</v>
      </c>
      <c r="G47" s="216">
        <f t="shared" si="10"/>
        <v>0</v>
      </c>
      <c r="H47" s="216">
        <f t="shared" si="10"/>
        <v>0</v>
      </c>
      <c r="I47" s="216">
        <f t="shared" si="10"/>
        <v>0</v>
      </c>
      <c r="J47" s="216">
        <f t="shared" si="10"/>
        <v>0</v>
      </c>
      <c r="K47" s="216">
        <f t="shared" si="10"/>
        <v>0</v>
      </c>
      <c r="L47" s="216">
        <f t="shared" si="10"/>
        <v>0</v>
      </c>
      <c r="M47" s="216">
        <f t="shared" si="10"/>
        <v>0</v>
      </c>
      <c r="N47" s="216">
        <f t="shared" si="10"/>
        <v>0</v>
      </c>
      <c r="O47" s="216">
        <f t="shared" si="10"/>
        <v>0</v>
      </c>
      <c r="P47" s="216">
        <f t="shared" si="10"/>
        <v>0</v>
      </c>
      <c r="Q47" s="216">
        <f t="shared" si="10"/>
        <v>0</v>
      </c>
      <c r="R47" s="216">
        <f t="shared" si="10"/>
        <v>0</v>
      </c>
      <c r="S47" s="216">
        <f t="shared" si="10"/>
        <v>0</v>
      </c>
      <c r="T47" s="216">
        <f t="shared" si="10"/>
        <v>0</v>
      </c>
      <c r="U47" s="216">
        <f t="shared" si="10"/>
        <v>0</v>
      </c>
      <c r="V47" s="216">
        <f t="shared" si="10"/>
        <v>0</v>
      </c>
      <c r="W47" s="216">
        <f t="shared" si="10"/>
        <v>0</v>
      </c>
      <c r="X47" s="216">
        <f t="shared" si="10"/>
        <v>0</v>
      </c>
      <c r="Y47" s="216">
        <f t="shared" si="10"/>
        <v>0</v>
      </c>
      <c r="Z47" s="216">
        <f t="shared" si="10"/>
        <v>0</v>
      </c>
      <c r="AA47" s="216">
        <f t="shared" si="10"/>
        <v>0</v>
      </c>
      <c r="AB47" s="216">
        <f t="shared" si="10"/>
        <v>0</v>
      </c>
      <c r="AC47" s="216">
        <f t="shared" si="10"/>
        <v>0</v>
      </c>
      <c r="AD47" s="216">
        <f t="shared" si="10"/>
        <v>0</v>
      </c>
      <c r="AE47" s="216">
        <f t="shared" si="10"/>
        <v>0</v>
      </c>
      <c r="AF47" s="217" t="str">
        <f>A47</f>
        <v>Total on call hours today</v>
      </c>
      <c r="AG47" s="188"/>
      <c r="AH47" s="213"/>
      <c r="AI47" s="214"/>
      <c r="AJ47" s="209"/>
      <c r="AK47" s="209"/>
      <c r="AL47" s="209"/>
      <c r="AM47" s="208"/>
      <c r="AN47" s="209"/>
      <c r="AO47" s="209"/>
      <c r="AP47" s="119"/>
    </row>
    <row r="48" spans="1:42" s="38" customFormat="1" ht="16.5" hidden="1" customHeight="1" outlineLevel="1" x14ac:dyDescent="0.2">
      <c r="A48" s="215" t="s">
        <v>208</v>
      </c>
      <c r="B48" s="225">
        <f t="shared" ref="B48:AE48" si="11">B45-B47</f>
        <v>0</v>
      </c>
      <c r="C48" s="225">
        <f t="shared" si="11"/>
        <v>0</v>
      </c>
      <c r="D48" s="225">
        <f t="shared" si="11"/>
        <v>0</v>
      </c>
      <c r="E48" s="225">
        <f t="shared" si="11"/>
        <v>0</v>
      </c>
      <c r="F48" s="225">
        <f t="shared" si="11"/>
        <v>0</v>
      </c>
      <c r="G48" s="225">
        <f t="shared" si="11"/>
        <v>0</v>
      </c>
      <c r="H48" s="225">
        <f t="shared" si="11"/>
        <v>0</v>
      </c>
      <c r="I48" s="225">
        <f t="shared" si="11"/>
        <v>0</v>
      </c>
      <c r="J48" s="225">
        <f t="shared" si="11"/>
        <v>0</v>
      </c>
      <c r="K48" s="225">
        <f t="shared" si="11"/>
        <v>0</v>
      </c>
      <c r="L48" s="225">
        <f t="shared" si="11"/>
        <v>0</v>
      </c>
      <c r="M48" s="225">
        <f t="shared" si="11"/>
        <v>0</v>
      </c>
      <c r="N48" s="225">
        <f t="shared" si="11"/>
        <v>0</v>
      </c>
      <c r="O48" s="225">
        <f t="shared" si="11"/>
        <v>0</v>
      </c>
      <c r="P48" s="225">
        <f t="shared" si="11"/>
        <v>0</v>
      </c>
      <c r="Q48" s="225">
        <f t="shared" si="11"/>
        <v>0</v>
      </c>
      <c r="R48" s="225">
        <f t="shared" si="11"/>
        <v>0</v>
      </c>
      <c r="S48" s="225">
        <f t="shared" si="11"/>
        <v>0</v>
      </c>
      <c r="T48" s="225">
        <f t="shared" si="11"/>
        <v>0</v>
      </c>
      <c r="U48" s="225">
        <f t="shared" si="11"/>
        <v>0</v>
      </c>
      <c r="V48" s="225">
        <f t="shared" si="11"/>
        <v>0</v>
      </c>
      <c r="W48" s="225">
        <f t="shared" si="11"/>
        <v>0</v>
      </c>
      <c r="X48" s="225">
        <f t="shared" si="11"/>
        <v>0</v>
      </c>
      <c r="Y48" s="225">
        <f t="shared" si="11"/>
        <v>0</v>
      </c>
      <c r="Z48" s="225">
        <f t="shared" si="11"/>
        <v>0</v>
      </c>
      <c r="AA48" s="225">
        <f t="shared" si="11"/>
        <v>0</v>
      </c>
      <c r="AB48" s="225">
        <f t="shared" si="11"/>
        <v>0</v>
      </c>
      <c r="AC48" s="225">
        <f t="shared" si="11"/>
        <v>0</v>
      </c>
      <c r="AD48" s="225">
        <f t="shared" si="11"/>
        <v>0</v>
      </c>
      <c r="AE48" s="225">
        <f t="shared" si="11"/>
        <v>0</v>
      </c>
      <c r="AF48" s="217" t="str">
        <f>A48</f>
        <v>Total on call hours yesterday</v>
      </c>
      <c r="AG48" s="188"/>
      <c r="AH48" s="213"/>
      <c r="AI48" s="214"/>
      <c r="AJ48" s="209"/>
      <c r="AK48" s="209"/>
      <c r="AL48" s="230">
        <f ca="1">IF(EB.Anwendung&lt;&gt;"",IF(MONTH(Monat.Tag1)=12,0,IF(MONTH(Monat.Tag1)=1,February!Monat.PikettgesternTag1,IF(MONTH(Monat.Tag1)=2,March!Monat.PikettgesternTag1,IF(MONTH(Monat.Tag1)=3,April!Monat.PikettgesternTag1,IF(MONTH(Monat.Tag1)=4,May!Monat.PikettgesternTag1,IF(MONTH(Monat.Tag1)=5,June!Monat.PikettgesternTag1,IF(MONTH(Monat.Tag1)=6,July!Monat.PikettgesternTag1,IF(MONTH(Monat.Tag1)=7,August!Monat.PikettgesternTag1,IF(MONTH(Monat.Tag1)=8,September!Monat.PikettgesternTag1,IF(MONTH(Monat.Tag1)=9,October!Monat.PikettgesternTag1,IF(MONTH(Monat.Tag1)=10,November!Monat.PikettgesternTag1,IF(MONTH(Monat.Tag1)=11,December!Monat.PikettgesternTag1,"")))))))))))),"")</f>
        <v>0</v>
      </c>
      <c r="AM48" s="208"/>
      <c r="AN48" s="209"/>
      <c r="AO48" s="209"/>
      <c r="AP48" s="119"/>
    </row>
    <row r="49" spans="1:42" s="38" customFormat="1" ht="16.5" hidden="1" customHeight="1" outlineLevel="1" x14ac:dyDescent="0.2">
      <c r="A49" s="215" t="s">
        <v>210</v>
      </c>
      <c r="B49" s="216">
        <f t="shared" ref="B49:AD49" si="12">B47+IF(B$10=EOMONTH(B$10,0),$AL48,C48)</f>
        <v>0</v>
      </c>
      <c r="C49" s="216">
        <f t="shared" si="12"/>
        <v>0</v>
      </c>
      <c r="D49" s="216">
        <f t="shared" si="12"/>
        <v>0</v>
      </c>
      <c r="E49" s="216">
        <f t="shared" si="12"/>
        <v>0</v>
      </c>
      <c r="F49" s="216">
        <f t="shared" si="12"/>
        <v>0</v>
      </c>
      <c r="G49" s="216">
        <f t="shared" si="12"/>
        <v>0</v>
      </c>
      <c r="H49" s="216">
        <f t="shared" si="12"/>
        <v>0</v>
      </c>
      <c r="I49" s="216">
        <f t="shared" si="12"/>
        <v>0</v>
      </c>
      <c r="J49" s="216">
        <f t="shared" si="12"/>
        <v>0</v>
      </c>
      <c r="K49" s="216">
        <f t="shared" si="12"/>
        <v>0</v>
      </c>
      <c r="L49" s="216">
        <f t="shared" si="12"/>
        <v>0</v>
      </c>
      <c r="M49" s="216">
        <f t="shared" si="12"/>
        <v>0</v>
      </c>
      <c r="N49" s="216">
        <f t="shared" si="12"/>
        <v>0</v>
      </c>
      <c r="O49" s="216">
        <f t="shared" si="12"/>
        <v>0</v>
      </c>
      <c r="P49" s="216">
        <f t="shared" si="12"/>
        <v>0</v>
      </c>
      <c r="Q49" s="216">
        <f t="shared" si="12"/>
        <v>0</v>
      </c>
      <c r="R49" s="216">
        <f t="shared" si="12"/>
        <v>0</v>
      </c>
      <c r="S49" s="216">
        <f t="shared" si="12"/>
        <v>0</v>
      </c>
      <c r="T49" s="216">
        <f t="shared" si="12"/>
        <v>0</v>
      </c>
      <c r="U49" s="216">
        <f t="shared" si="12"/>
        <v>0</v>
      </c>
      <c r="V49" s="216">
        <f t="shared" si="12"/>
        <v>0</v>
      </c>
      <c r="W49" s="216">
        <f t="shared" si="12"/>
        <v>0</v>
      </c>
      <c r="X49" s="216">
        <f t="shared" si="12"/>
        <v>0</v>
      </c>
      <c r="Y49" s="216">
        <f t="shared" si="12"/>
        <v>0</v>
      </c>
      <c r="Z49" s="216">
        <f t="shared" si="12"/>
        <v>0</v>
      </c>
      <c r="AA49" s="216">
        <f t="shared" si="12"/>
        <v>0</v>
      </c>
      <c r="AB49" s="216">
        <f t="shared" si="12"/>
        <v>0</v>
      </c>
      <c r="AC49" s="216">
        <f t="shared" si="12"/>
        <v>0</v>
      </c>
      <c r="AD49" s="216">
        <f t="shared" si="12"/>
        <v>0</v>
      </c>
      <c r="AE49" s="216">
        <f ca="1">AE47+IF(AE$10=EOMONTH(AE$10,0),$AL48,#REF!)</f>
        <v>0</v>
      </c>
      <c r="AF49" s="217" t="str">
        <f>A49</f>
        <v>Total on call standby hours</v>
      </c>
      <c r="AG49" s="218"/>
      <c r="AH49" s="219">
        <f ca="1">SUM(B49:AE49)</f>
        <v>0</v>
      </c>
      <c r="AI49" s="214"/>
      <c r="AJ49" s="209"/>
      <c r="AK49" s="209"/>
      <c r="AL49" s="209"/>
      <c r="AM49" s="208"/>
      <c r="AN49" s="209"/>
      <c r="AO49" s="209"/>
      <c r="AP49" s="119"/>
    </row>
    <row r="50" spans="1:42" s="38" customFormat="1" ht="3.75" customHeight="1" collapsed="1" x14ac:dyDescent="0.2">
      <c r="A50" s="231"/>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32"/>
      <c r="AG50" s="233"/>
      <c r="AH50" s="222"/>
      <c r="AI50" s="214"/>
      <c r="AJ50" s="209"/>
      <c r="AK50" s="209"/>
      <c r="AL50" s="209"/>
      <c r="AM50" s="208"/>
      <c r="AN50" s="209"/>
      <c r="AO50" s="209"/>
      <c r="AP50" s="119"/>
    </row>
    <row r="51" spans="1:42" s="38" customFormat="1" ht="15" customHeight="1" x14ac:dyDescent="0.2">
      <c r="A51" s="215" t="s">
        <v>76</v>
      </c>
      <c r="B51" s="234">
        <f>ROUND((B23+B45+B84+SUM(B86:B95)+IF(OR(T.50_Vetsuisse,T.ServiceCenterIrchel),B71,0))*1440,0)/1440</f>
        <v>0</v>
      </c>
      <c r="C51" s="234">
        <f t="shared" ref="C51:AE51" si="13">ROUND((C23+C45+C84+SUM(C86:C95)+IF(OR(T.50_Vetsuisse,T.ServiceCenterIrchel),C71,0))*1440,0)/1440</f>
        <v>0</v>
      </c>
      <c r="D51" s="234">
        <f t="shared" si="13"/>
        <v>0</v>
      </c>
      <c r="E51" s="235">
        <f t="shared" si="13"/>
        <v>0</v>
      </c>
      <c r="F51" s="234">
        <f t="shared" si="13"/>
        <v>0</v>
      </c>
      <c r="G51" s="234">
        <f t="shared" si="13"/>
        <v>0</v>
      </c>
      <c r="H51" s="234">
        <f t="shared" si="13"/>
        <v>0</v>
      </c>
      <c r="I51" s="234">
        <f t="shared" si="13"/>
        <v>0</v>
      </c>
      <c r="J51" s="236">
        <f t="shared" si="13"/>
        <v>0</v>
      </c>
      <c r="K51" s="234">
        <f t="shared" si="13"/>
        <v>0</v>
      </c>
      <c r="L51" s="236">
        <f t="shared" si="13"/>
        <v>0</v>
      </c>
      <c r="M51" s="234">
        <f t="shared" si="13"/>
        <v>0</v>
      </c>
      <c r="N51" s="234">
        <f t="shared" si="13"/>
        <v>0</v>
      </c>
      <c r="O51" s="234">
        <f t="shared" si="13"/>
        <v>0</v>
      </c>
      <c r="P51" s="234">
        <f t="shared" si="13"/>
        <v>0</v>
      </c>
      <c r="Q51" s="236">
        <f t="shared" si="13"/>
        <v>0</v>
      </c>
      <c r="R51" s="234">
        <f t="shared" si="13"/>
        <v>0</v>
      </c>
      <c r="S51" s="236">
        <f t="shared" si="13"/>
        <v>0</v>
      </c>
      <c r="T51" s="236">
        <f t="shared" si="13"/>
        <v>0</v>
      </c>
      <c r="U51" s="234">
        <f t="shared" si="13"/>
        <v>0</v>
      </c>
      <c r="V51" s="234">
        <f t="shared" si="13"/>
        <v>0</v>
      </c>
      <c r="W51" s="234">
        <f t="shared" si="13"/>
        <v>0</v>
      </c>
      <c r="X51" s="236">
        <f t="shared" si="13"/>
        <v>0</v>
      </c>
      <c r="Y51" s="234">
        <f t="shared" si="13"/>
        <v>0</v>
      </c>
      <c r="Z51" s="237">
        <f t="shared" si="13"/>
        <v>0</v>
      </c>
      <c r="AA51" s="234">
        <f t="shared" si="13"/>
        <v>0</v>
      </c>
      <c r="AB51" s="234">
        <f t="shared" si="13"/>
        <v>0</v>
      </c>
      <c r="AC51" s="234">
        <f t="shared" si="13"/>
        <v>0</v>
      </c>
      <c r="AD51" s="234">
        <f t="shared" si="13"/>
        <v>0</v>
      </c>
      <c r="AE51" s="236">
        <f t="shared" si="13"/>
        <v>0</v>
      </c>
      <c r="AF51" s="217" t="str">
        <f t="shared" ref="AF51:AF56" si="14">A51</f>
        <v>Actual hours worked</v>
      </c>
      <c r="AG51" s="218"/>
      <c r="AH51" s="238">
        <f>SUM(B51:AE51)</f>
        <v>0</v>
      </c>
      <c r="AI51" s="214"/>
      <c r="AJ51" s="209"/>
      <c r="AK51" s="209"/>
      <c r="AL51" s="209"/>
      <c r="AM51" s="239">
        <f ca="1">IF(WEEKDAY(EOMONTH(Monat.Tag1,0),2)=7,0,MAX(0,SUM(OFFSET(B51,0,DAY(EOMONTH(Monat.Tag1,0))-WEEKDAY(EOMONTH(Monat.Tag1,0),2),1,WEEKDAY(EOMONTH(Monat.Tag1,0),2)))))</f>
        <v>0</v>
      </c>
      <c r="AN51" s="209"/>
      <c r="AO51" s="209"/>
      <c r="AP51" s="119"/>
    </row>
    <row r="52" spans="1:42" s="38" customFormat="1" ht="15" customHeight="1" outlineLevel="1" x14ac:dyDescent="0.2">
      <c r="A52" s="212" t="s">
        <v>211</v>
      </c>
      <c r="B52" s="78">
        <f t="shared" ref="B52:AE52" ca="1" si="15">IF(B$12=0,0,ROUND(INDEX(Monat.RAZ1_7.Bereich,WEEKDAY(B$10,2))*B$11*1440,0)/1440)</f>
        <v>0</v>
      </c>
      <c r="C52" s="78">
        <f t="shared" ca="1" si="15"/>
        <v>0.35</v>
      </c>
      <c r="D52" s="79">
        <f t="shared" ca="1" si="15"/>
        <v>0.35</v>
      </c>
      <c r="E52" s="78">
        <f t="shared" ca="1" si="15"/>
        <v>0.35</v>
      </c>
      <c r="F52" s="79">
        <f t="shared" ca="1" si="15"/>
        <v>0.35</v>
      </c>
      <c r="G52" s="79">
        <f t="shared" ca="1" si="15"/>
        <v>0.35</v>
      </c>
      <c r="H52" s="79">
        <f t="shared" ca="1" si="15"/>
        <v>0</v>
      </c>
      <c r="I52" s="79">
        <f t="shared" ca="1" si="15"/>
        <v>0</v>
      </c>
      <c r="J52" s="78">
        <f t="shared" ca="1" si="15"/>
        <v>0.35</v>
      </c>
      <c r="K52" s="79">
        <f t="shared" ca="1" si="15"/>
        <v>0.35</v>
      </c>
      <c r="L52" s="78">
        <f t="shared" ca="1" si="15"/>
        <v>0.35</v>
      </c>
      <c r="M52" s="79">
        <f t="shared" ca="1" si="15"/>
        <v>0.35</v>
      </c>
      <c r="N52" s="79">
        <f t="shared" ca="1" si="15"/>
        <v>0.35</v>
      </c>
      <c r="O52" s="79">
        <f t="shared" ca="1" si="15"/>
        <v>0</v>
      </c>
      <c r="P52" s="79">
        <f t="shared" ca="1" si="15"/>
        <v>0</v>
      </c>
      <c r="Q52" s="78">
        <f t="shared" ca="1" si="15"/>
        <v>0.35</v>
      </c>
      <c r="R52" s="79">
        <f t="shared" ca="1" si="15"/>
        <v>0.35</v>
      </c>
      <c r="S52" s="78">
        <f t="shared" ca="1" si="15"/>
        <v>0.35</v>
      </c>
      <c r="T52" s="78">
        <f t="shared" ca="1" si="15"/>
        <v>0.35</v>
      </c>
      <c r="U52" s="79">
        <f t="shared" ca="1" si="15"/>
        <v>0.35</v>
      </c>
      <c r="V52" s="79">
        <f t="shared" ca="1" si="15"/>
        <v>0</v>
      </c>
      <c r="W52" s="79">
        <f t="shared" ca="1" si="15"/>
        <v>0</v>
      </c>
      <c r="X52" s="78">
        <f t="shared" ca="1" si="15"/>
        <v>0.35</v>
      </c>
      <c r="Y52" s="79">
        <f t="shared" ca="1" si="15"/>
        <v>0.35</v>
      </c>
      <c r="Z52" s="80">
        <f t="shared" ca="1" si="15"/>
        <v>0.35</v>
      </c>
      <c r="AA52" s="79">
        <f t="shared" ca="1" si="15"/>
        <v>0.35</v>
      </c>
      <c r="AB52" s="79">
        <f t="shared" ca="1" si="15"/>
        <v>0.35</v>
      </c>
      <c r="AC52" s="79">
        <f t="shared" ca="1" si="15"/>
        <v>0</v>
      </c>
      <c r="AD52" s="79">
        <f t="shared" ca="1" si="15"/>
        <v>0</v>
      </c>
      <c r="AE52" s="78">
        <f t="shared" ca="1" si="15"/>
        <v>0.35</v>
      </c>
      <c r="AF52" s="240" t="str">
        <f t="shared" si="14"/>
        <v>Standardized hours (Info)</v>
      </c>
      <c r="AG52" s="218"/>
      <c r="AH52" s="213"/>
      <c r="AI52" s="214"/>
      <c r="AJ52" s="209"/>
      <c r="AK52" s="209"/>
      <c r="AL52" s="209"/>
      <c r="AM52" s="208"/>
      <c r="AN52" s="209"/>
      <c r="AO52" s="209"/>
      <c r="AP52" s="119"/>
    </row>
    <row r="53" spans="1:42" s="38" customFormat="1" ht="15" customHeight="1" x14ac:dyDescent="0.2">
      <c r="A53" s="212" t="s">
        <v>212</v>
      </c>
      <c r="B53" s="241">
        <f t="shared" ref="B53:AE53" ca="1" si="16">IF(B$12=0,0,ROUND(INDEX(EB.AZSOLLTag100.Bereich,MATCH(INDEX(EB.Monate.Bereich,MONTH(Monat.Tag1)),EB.Monate.Bereich,0))*B$11*IF(WEEKDAY(B$10,2)&gt;5,0,1)*$V$2/100*1440,0)/1440)</f>
        <v>0</v>
      </c>
      <c r="C53" s="241">
        <f t="shared" ca="1" si="16"/>
        <v>0.35</v>
      </c>
      <c r="D53" s="241">
        <f t="shared" ca="1" si="16"/>
        <v>0.35</v>
      </c>
      <c r="E53" s="241">
        <f t="shared" ca="1" si="16"/>
        <v>0.35</v>
      </c>
      <c r="F53" s="241">
        <f t="shared" ca="1" si="16"/>
        <v>0.35</v>
      </c>
      <c r="G53" s="241">
        <f t="shared" ca="1" si="16"/>
        <v>0.35</v>
      </c>
      <c r="H53" s="241">
        <f t="shared" ca="1" si="16"/>
        <v>0</v>
      </c>
      <c r="I53" s="241">
        <f t="shared" ca="1" si="16"/>
        <v>0</v>
      </c>
      <c r="J53" s="241">
        <f t="shared" ca="1" si="16"/>
        <v>0.35</v>
      </c>
      <c r="K53" s="241">
        <f t="shared" ca="1" si="16"/>
        <v>0.35</v>
      </c>
      <c r="L53" s="241">
        <f t="shared" ca="1" si="16"/>
        <v>0.35</v>
      </c>
      <c r="M53" s="241">
        <f t="shared" ca="1" si="16"/>
        <v>0.35</v>
      </c>
      <c r="N53" s="241">
        <f t="shared" ca="1" si="16"/>
        <v>0.35</v>
      </c>
      <c r="O53" s="241">
        <f t="shared" ca="1" si="16"/>
        <v>0</v>
      </c>
      <c r="P53" s="241">
        <f t="shared" ca="1" si="16"/>
        <v>0</v>
      </c>
      <c r="Q53" s="241">
        <f t="shared" ca="1" si="16"/>
        <v>0.35</v>
      </c>
      <c r="R53" s="241">
        <f t="shared" ca="1" si="16"/>
        <v>0.35</v>
      </c>
      <c r="S53" s="241">
        <f t="shared" ca="1" si="16"/>
        <v>0.35</v>
      </c>
      <c r="T53" s="241">
        <f t="shared" ca="1" si="16"/>
        <v>0.35</v>
      </c>
      <c r="U53" s="241">
        <f t="shared" ca="1" si="16"/>
        <v>0.35</v>
      </c>
      <c r="V53" s="241">
        <f t="shared" ca="1" si="16"/>
        <v>0</v>
      </c>
      <c r="W53" s="241">
        <f t="shared" ca="1" si="16"/>
        <v>0</v>
      </c>
      <c r="X53" s="241">
        <f t="shared" ca="1" si="16"/>
        <v>0.35</v>
      </c>
      <c r="Y53" s="241">
        <f t="shared" ca="1" si="16"/>
        <v>0.35</v>
      </c>
      <c r="Z53" s="241">
        <f t="shared" ca="1" si="16"/>
        <v>0.35</v>
      </c>
      <c r="AA53" s="241">
        <f t="shared" ca="1" si="16"/>
        <v>0.35</v>
      </c>
      <c r="AB53" s="241">
        <f t="shared" ca="1" si="16"/>
        <v>0.35</v>
      </c>
      <c r="AC53" s="241">
        <f t="shared" ca="1" si="16"/>
        <v>0</v>
      </c>
      <c r="AD53" s="241">
        <f t="shared" ca="1" si="16"/>
        <v>0</v>
      </c>
      <c r="AE53" s="241">
        <f t="shared" ca="1" si="16"/>
        <v>0.35</v>
      </c>
      <c r="AF53" s="205" t="str">
        <f t="shared" si="14"/>
        <v>Req. hours of work FTE</v>
      </c>
      <c r="AG53" s="218"/>
      <c r="AH53" s="238">
        <f ca="1">SUM(B53:AE53)</f>
        <v>7.349999999999997</v>
      </c>
      <c r="AI53" s="214"/>
      <c r="AJ53" s="209"/>
      <c r="AK53" s="209"/>
      <c r="AL53" s="209"/>
      <c r="AM53" s="208"/>
      <c r="AN53" s="209"/>
      <c r="AO53" s="209"/>
      <c r="AP53" s="119"/>
    </row>
    <row r="54" spans="1:42" s="38" customFormat="1" ht="15" hidden="1" customHeight="1" outlineLevel="1" x14ac:dyDescent="0.2">
      <c r="A54" s="212" t="s">
        <v>213</v>
      </c>
      <c r="B54" s="241">
        <f t="shared" ref="B54:AE54" ca="1" si="17">ROUND(INDEX(EB.AZSOLLTag100.Bereich,MATCH(INDEX(EB.Monate.Bereich,MONTH(Monat.Tag1)),EB.Monate.Bereich,0))*B$11*IF(WEEKDAY(B$10,2)&gt;5,0,1)*1440,0)/1440</f>
        <v>0</v>
      </c>
      <c r="C54" s="241">
        <f t="shared" ca="1" si="17"/>
        <v>0.35</v>
      </c>
      <c r="D54" s="242">
        <f t="shared" ca="1" si="17"/>
        <v>0.35</v>
      </c>
      <c r="E54" s="241">
        <f t="shared" ca="1" si="17"/>
        <v>0.35</v>
      </c>
      <c r="F54" s="242">
        <f t="shared" ca="1" si="17"/>
        <v>0.35</v>
      </c>
      <c r="G54" s="242">
        <f t="shared" ca="1" si="17"/>
        <v>0.35</v>
      </c>
      <c r="H54" s="242">
        <f t="shared" ca="1" si="17"/>
        <v>0</v>
      </c>
      <c r="I54" s="242">
        <f t="shared" ca="1" si="17"/>
        <v>0</v>
      </c>
      <c r="J54" s="241">
        <f t="shared" ca="1" si="17"/>
        <v>0.35</v>
      </c>
      <c r="K54" s="242">
        <f t="shared" ca="1" si="17"/>
        <v>0.35</v>
      </c>
      <c r="L54" s="241">
        <f t="shared" ca="1" si="17"/>
        <v>0.35</v>
      </c>
      <c r="M54" s="242">
        <f t="shared" ca="1" si="17"/>
        <v>0.35</v>
      </c>
      <c r="N54" s="242">
        <f t="shared" ca="1" si="17"/>
        <v>0.35</v>
      </c>
      <c r="O54" s="242">
        <f t="shared" ca="1" si="17"/>
        <v>0</v>
      </c>
      <c r="P54" s="242">
        <f t="shared" ca="1" si="17"/>
        <v>0</v>
      </c>
      <c r="Q54" s="241">
        <f t="shared" ca="1" si="17"/>
        <v>0.35</v>
      </c>
      <c r="R54" s="242">
        <f t="shared" ca="1" si="17"/>
        <v>0.35</v>
      </c>
      <c r="S54" s="241">
        <f t="shared" ca="1" si="17"/>
        <v>0.35</v>
      </c>
      <c r="T54" s="241">
        <f t="shared" ca="1" si="17"/>
        <v>0.35</v>
      </c>
      <c r="U54" s="242">
        <f t="shared" ca="1" si="17"/>
        <v>0.35</v>
      </c>
      <c r="V54" s="242">
        <f t="shared" ca="1" si="17"/>
        <v>0</v>
      </c>
      <c r="W54" s="242">
        <f t="shared" ca="1" si="17"/>
        <v>0</v>
      </c>
      <c r="X54" s="241">
        <f t="shared" ca="1" si="17"/>
        <v>0.35</v>
      </c>
      <c r="Y54" s="242">
        <f t="shared" ca="1" si="17"/>
        <v>0.35</v>
      </c>
      <c r="Z54" s="243">
        <f t="shared" ca="1" si="17"/>
        <v>0.35</v>
      </c>
      <c r="AA54" s="242">
        <f t="shared" ca="1" si="17"/>
        <v>0.35</v>
      </c>
      <c r="AB54" s="242">
        <f t="shared" ca="1" si="17"/>
        <v>0.35</v>
      </c>
      <c r="AC54" s="242">
        <f t="shared" ca="1" si="17"/>
        <v>0</v>
      </c>
      <c r="AD54" s="242">
        <f t="shared" ca="1" si="17"/>
        <v>0</v>
      </c>
      <c r="AE54" s="241">
        <f t="shared" ca="1" si="17"/>
        <v>0.35</v>
      </c>
      <c r="AF54" s="205" t="str">
        <f t="shared" si="14"/>
        <v>Req. hours of work 100%</v>
      </c>
      <c r="AG54" s="218"/>
      <c r="AH54" s="238">
        <f ca="1">SUM(B54:AE54)</f>
        <v>7.349999999999997</v>
      </c>
      <c r="AI54" s="214"/>
      <c r="AJ54" s="209"/>
      <c r="AK54" s="209"/>
      <c r="AL54" s="209"/>
      <c r="AM54" s="208"/>
      <c r="AN54" s="209"/>
      <c r="AO54" s="209"/>
      <c r="AP54" s="119"/>
    </row>
    <row r="55" spans="1:42" s="38" customFormat="1" ht="15" customHeight="1" collapsed="1" x14ac:dyDescent="0.2">
      <c r="A55" s="244" t="s">
        <v>77</v>
      </c>
      <c r="B55" s="234">
        <f ca="1">ROUND((B51-B53)*1440,0)/1440</f>
        <v>0</v>
      </c>
      <c r="C55" s="234">
        <f t="shared" ref="C55:AE55" ca="1" si="18">ROUND((C51-C53)*1440,0)/1440</f>
        <v>-0.35</v>
      </c>
      <c r="D55" s="234">
        <f t="shared" ca="1" si="18"/>
        <v>-0.35</v>
      </c>
      <c r="E55" s="236">
        <f t="shared" ca="1" si="18"/>
        <v>-0.35</v>
      </c>
      <c r="F55" s="234">
        <f t="shared" ca="1" si="18"/>
        <v>-0.35</v>
      </c>
      <c r="G55" s="234">
        <f t="shared" ca="1" si="18"/>
        <v>-0.35</v>
      </c>
      <c r="H55" s="234">
        <f t="shared" ca="1" si="18"/>
        <v>0</v>
      </c>
      <c r="I55" s="234">
        <f t="shared" ca="1" si="18"/>
        <v>0</v>
      </c>
      <c r="J55" s="236">
        <f t="shared" ca="1" si="18"/>
        <v>-0.35</v>
      </c>
      <c r="K55" s="234">
        <f t="shared" ca="1" si="18"/>
        <v>-0.35</v>
      </c>
      <c r="L55" s="236">
        <f t="shared" ca="1" si="18"/>
        <v>-0.35</v>
      </c>
      <c r="M55" s="234">
        <f t="shared" ca="1" si="18"/>
        <v>-0.35</v>
      </c>
      <c r="N55" s="234">
        <f t="shared" ca="1" si="18"/>
        <v>-0.35</v>
      </c>
      <c r="O55" s="234">
        <f t="shared" ca="1" si="18"/>
        <v>0</v>
      </c>
      <c r="P55" s="234">
        <f t="shared" ca="1" si="18"/>
        <v>0</v>
      </c>
      <c r="Q55" s="236">
        <f t="shared" ca="1" si="18"/>
        <v>-0.35</v>
      </c>
      <c r="R55" s="234">
        <f t="shared" ca="1" si="18"/>
        <v>-0.35</v>
      </c>
      <c r="S55" s="236">
        <f t="shared" ca="1" si="18"/>
        <v>-0.35</v>
      </c>
      <c r="T55" s="236">
        <f t="shared" ca="1" si="18"/>
        <v>-0.35</v>
      </c>
      <c r="U55" s="234">
        <f t="shared" ca="1" si="18"/>
        <v>-0.35</v>
      </c>
      <c r="V55" s="234">
        <f t="shared" ca="1" si="18"/>
        <v>0</v>
      </c>
      <c r="W55" s="234">
        <f t="shared" ca="1" si="18"/>
        <v>0</v>
      </c>
      <c r="X55" s="236">
        <f t="shared" ca="1" si="18"/>
        <v>-0.35</v>
      </c>
      <c r="Y55" s="234">
        <f t="shared" ca="1" si="18"/>
        <v>-0.35</v>
      </c>
      <c r="Z55" s="237">
        <f t="shared" ca="1" si="18"/>
        <v>-0.35</v>
      </c>
      <c r="AA55" s="234">
        <f t="shared" ca="1" si="18"/>
        <v>-0.35</v>
      </c>
      <c r="AB55" s="234">
        <f t="shared" ca="1" si="18"/>
        <v>-0.35</v>
      </c>
      <c r="AC55" s="234">
        <f t="shared" ca="1" si="18"/>
        <v>0</v>
      </c>
      <c r="AD55" s="234">
        <f t="shared" ca="1" si="18"/>
        <v>0</v>
      </c>
      <c r="AE55" s="236">
        <f t="shared" ca="1" si="18"/>
        <v>-0.35</v>
      </c>
      <c r="AF55" s="205" t="str">
        <f t="shared" si="14"/>
        <v>+/- required/actual hours daily</v>
      </c>
      <c r="AG55" s="218"/>
      <c r="AH55" s="238">
        <f ca="1">SUM(B55:AE55)</f>
        <v>-7.349999999999997</v>
      </c>
      <c r="AI55" s="214"/>
      <c r="AJ55" s="209"/>
      <c r="AK55" s="245">
        <f ca="1">IF(EB.Anwendung&lt;&gt;"",IF(MONTH(Monat.Tag1)=1,0,IF(MONTH(Monat.Tag1)=2,January!Monat.Soll_Ist_UeVM,IF(MONTH(Monat.Tag1)=3,February!Monat.Soll_Ist_UeVM,IF(MONTH(Monat.Tag1)=4,March!Monat.Soll_Ist_UeVM,IF(MONTH(Monat.Tag1)=5,April!Monat.Soll_Ist_UeVM,IF(MONTH(Monat.Tag1)=6,May!Monat.Soll_Ist_UeVM,IF(MONTH(Monat.Tag1)=7,June!Monat.Soll_Ist_UeVM,IF(MONTH(Monat.Tag1)=8,July!Monat.Soll_Ist_UeVM,IF(MONTH(Monat.Tag1)=9,August!Monat.Soll_Ist_UeVM,IF(MONTH(Monat.Tag1)=10,September!Monat.Soll_Ist_UeVM,IF(MONTH(Monat.Tag1)=11,October!Monat.Soll_Ist_UeVM,IF(MONTH(Monat.Tag1)=12,November!Monat.Soll_Ist_UeVM,"")))))))))))),"")</f>
        <v>-7.6999999999999966</v>
      </c>
      <c r="AL55" s="209"/>
      <c r="AM55" s="246">
        <f ca="1">IF(AG57="+",(AH55+AH57),(AH55-AH57))</f>
        <v>-7.349999999999997</v>
      </c>
      <c r="AN55" s="246">
        <f ca="1">SUM(OFFSET(J.AZSaldo.Total,-12,0,MONTH(Monat.Tag1),1))</f>
        <v>-80.649999999999963</v>
      </c>
      <c r="AO55" s="246">
        <f ca="1">J.AZSaldo.Total</f>
        <v>-88.07499999999996</v>
      </c>
      <c r="AP55" s="119"/>
    </row>
    <row r="56" spans="1:42" s="38" customFormat="1" ht="15" customHeight="1" x14ac:dyDescent="0.2">
      <c r="A56" s="244" t="s">
        <v>214</v>
      </c>
      <c r="B56" s="247">
        <f ca="1">IF(EB.Anwendung&lt;&gt;"",IF(DAY(B$10)=1,IF(MONTH(Monat.Tag1)=1,ROUND(EB.ÜVMMS*1440,0)/1440,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B$10&gt;TODAY(),EB.UJAustritt=""),0,B55),
IF(AND(B$10&gt;TODAY(),EB.UJAustritt=""),A56,A56+B55)),"")</f>
        <v>0</v>
      </c>
      <c r="C56" s="247">
        <f ca="1">IF(EB.Anwendung&lt;&gt;"",IF(DAY(C$10)=1,IF(MONTH(Monat.Tag1)=1,ROUND(EB.ÜVMMS*1440,0)/1440,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C$10&gt;TODAY(),EB.UJAustritt=""),0,C55),
IF(AND(C$10&gt;TODAY(),EB.UJAustritt=""),B56,B56+C55)),"")</f>
        <v>0</v>
      </c>
      <c r="D56" s="247">
        <f ca="1">IF(EB.Anwendung&lt;&gt;"",IF(DAY(D$10)=1,IF(MONTH(Monat.Tag1)=1,ROUND(EB.ÜVMMS*1440,0)/1440,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D$10&gt;TODAY(),EB.UJAustritt=""),0,D55),
IF(AND(D$10&gt;TODAY(),EB.UJAustritt=""),C56,C56+D55)),"")</f>
        <v>0</v>
      </c>
      <c r="E56" s="247">
        <f ca="1">IF(EB.Anwendung&lt;&gt;"",IF(DAY(E$10)=1,IF(MONTH(Monat.Tag1)=1,ROUND(EB.ÜVMMS*1440,0)/1440,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E$10&gt;TODAY(),EB.UJAustritt=""),0,E55),
IF(AND(E$10&gt;TODAY(),EB.UJAustritt=""),D56,D56+E55)),"")</f>
        <v>0</v>
      </c>
      <c r="F56" s="247">
        <f ca="1">IF(EB.Anwendung&lt;&gt;"",IF(DAY(F$10)=1,IF(MONTH(Monat.Tag1)=1,ROUND(EB.ÜVMMS*1440,0)/1440,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F$10&gt;TODAY(),EB.UJAustritt=""),0,F55),
IF(AND(F$10&gt;TODAY(),EB.UJAustritt=""),E56,E56+F55)),"")</f>
        <v>0</v>
      </c>
      <c r="G56" s="247">
        <f ca="1">IF(EB.Anwendung&lt;&gt;"",IF(DAY(G$10)=1,IF(MONTH(Monat.Tag1)=1,ROUND(EB.ÜVMMS*1440,0)/1440,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G$10&gt;TODAY(),EB.UJAustritt=""),0,G55),
IF(AND(G$10&gt;TODAY(),EB.UJAustritt=""),F56,F56+G55)),"")</f>
        <v>0</v>
      </c>
      <c r="H56" s="247">
        <f ca="1">IF(EB.Anwendung&lt;&gt;"",IF(DAY(H$10)=1,IF(MONTH(Monat.Tag1)=1,ROUND(EB.ÜVMMS*1440,0)/1440,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H$10&gt;TODAY(),EB.UJAustritt=""),0,H55),
IF(AND(H$10&gt;TODAY(),EB.UJAustritt=""),G56,G56+H55)),"")</f>
        <v>0</v>
      </c>
      <c r="I56" s="247">
        <f ca="1">IF(EB.Anwendung&lt;&gt;"",IF(DAY(I$10)=1,IF(MONTH(Monat.Tag1)=1,ROUND(EB.ÜVMMS*1440,0)/1440,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I$10&gt;TODAY(),EB.UJAustritt=""),0,I55),
IF(AND(I$10&gt;TODAY(),EB.UJAustritt=""),H56,H56+I55)),"")</f>
        <v>0</v>
      </c>
      <c r="J56" s="247">
        <f ca="1">IF(EB.Anwendung&lt;&gt;"",IF(DAY(J$10)=1,IF(MONTH(Monat.Tag1)=1,ROUND(EB.ÜVMMS*1440,0)/1440,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J$10&gt;TODAY(),EB.UJAustritt=""),0,J55),
IF(AND(J$10&gt;TODAY(),EB.UJAustritt=""),I56,I56+J55)),"")</f>
        <v>0</v>
      </c>
      <c r="K56" s="247">
        <f ca="1">IF(EB.Anwendung&lt;&gt;"",IF(DAY(K$10)=1,IF(MONTH(Monat.Tag1)=1,ROUND(EB.ÜVMMS*1440,0)/1440,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K$10&gt;TODAY(),EB.UJAustritt=""),0,K55),
IF(AND(K$10&gt;TODAY(),EB.UJAustritt=""),J56,J56+K55)),"")</f>
        <v>0</v>
      </c>
      <c r="L56" s="247">
        <f ca="1">IF(EB.Anwendung&lt;&gt;"",IF(DAY(L$10)=1,IF(MONTH(Monat.Tag1)=1,ROUND(EB.ÜVMMS*1440,0)/1440,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L$10&gt;TODAY(),EB.UJAustritt=""),0,L55),
IF(AND(L$10&gt;TODAY(),EB.UJAustritt=""),K56,K56+L55)),"")</f>
        <v>0</v>
      </c>
      <c r="M56" s="247">
        <f ca="1">IF(EB.Anwendung&lt;&gt;"",IF(DAY(M$10)=1,IF(MONTH(Monat.Tag1)=1,ROUND(EB.ÜVMMS*1440,0)/1440,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M$10&gt;TODAY(),EB.UJAustritt=""),0,M55),
IF(AND(M$10&gt;TODAY(),EB.UJAustritt=""),L56,L56+M55)),"")</f>
        <v>0</v>
      </c>
      <c r="N56" s="247">
        <f ca="1">IF(EB.Anwendung&lt;&gt;"",IF(DAY(N$10)=1,IF(MONTH(Monat.Tag1)=1,ROUND(EB.ÜVMMS*1440,0)/1440,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N$10&gt;TODAY(),EB.UJAustritt=""),0,N55),
IF(AND(N$10&gt;TODAY(),EB.UJAustritt=""),M56,M56+N55)),"")</f>
        <v>0</v>
      </c>
      <c r="O56" s="247">
        <f ca="1">IF(EB.Anwendung&lt;&gt;"",IF(DAY(O$10)=1,IF(MONTH(Monat.Tag1)=1,ROUND(EB.ÜVMMS*1440,0)/1440,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O$10&gt;TODAY(),EB.UJAustritt=""),0,O55),
IF(AND(O$10&gt;TODAY(),EB.UJAustritt=""),N56,N56+O55)),"")</f>
        <v>0</v>
      </c>
      <c r="P56" s="247">
        <f ca="1">IF(EB.Anwendung&lt;&gt;"",IF(DAY(P$10)=1,IF(MONTH(Monat.Tag1)=1,ROUND(EB.ÜVMMS*1440,0)/1440,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P$10&gt;TODAY(),EB.UJAustritt=""),0,P55),
IF(AND(P$10&gt;TODAY(),EB.UJAustritt=""),O56,O56+P55)),"")</f>
        <v>0</v>
      </c>
      <c r="Q56" s="247">
        <f ca="1">IF(EB.Anwendung&lt;&gt;"",IF(DAY(Q$10)=1,IF(MONTH(Monat.Tag1)=1,ROUND(EB.ÜVMMS*1440,0)/1440,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Q$10&gt;TODAY(),EB.UJAustritt=""),0,Q55),
IF(AND(Q$10&gt;TODAY(),EB.UJAustritt=""),P56,P56+Q55)),"")</f>
        <v>0</v>
      </c>
      <c r="R56" s="247">
        <f ca="1">IF(EB.Anwendung&lt;&gt;"",IF(DAY(R$10)=1,IF(MONTH(Monat.Tag1)=1,ROUND(EB.ÜVMMS*1440,0)/1440,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R$10&gt;TODAY(),EB.UJAustritt=""),0,R55),
IF(AND(R$10&gt;TODAY(),EB.UJAustritt=""),Q56,Q56+R55)),"")</f>
        <v>0</v>
      </c>
      <c r="S56" s="247">
        <f ca="1">IF(EB.Anwendung&lt;&gt;"",IF(DAY(S$10)=1,IF(MONTH(Monat.Tag1)=1,ROUND(EB.ÜVMMS*1440,0)/1440,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S$10&gt;TODAY(),EB.UJAustritt=""),0,S55),
IF(AND(S$10&gt;TODAY(),EB.UJAustritt=""),R56,R56+S55)),"")</f>
        <v>0</v>
      </c>
      <c r="T56" s="247">
        <f ca="1">IF(EB.Anwendung&lt;&gt;"",IF(DAY(T$10)=1,IF(MONTH(Monat.Tag1)=1,ROUND(EB.ÜVMMS*1440,0)/1440,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T$10&gt;TODAY(),EB.UJAustritt=""),0,T55),
IF(AND(T$10&gt;TODAY(),EB.UJAustritt=""),S56,S56+T55)),"")</f>
        <v>0</v>
      </c>
      <c r="U56" s="247">
        <f ca="1">IF(EB.Anwendung&lt;&gt;"",IF(DAY(U$10)=1,IF(MONTH(Monat.Tag1)=1,ROUND(EB.ÜVMMS*1440,0)/1440,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U$10&gt;TODAY(),EB.UJAustritt=""),0,U55),
IF(AND(U$10&gt;TODAY(),EB.UJAustritt=""),T56,T56+U55)),"")</f>
        <v>0</v>
      </c>
      <c r="V56" s="247">
        <f ca="1">IF(EB.Anwendung&lt;&gt;"",IF(DAY(V$10)=1,IF(MONTH(Monat.Tag1)=1,ROUND(EB.ÜVMMS*1440,0)/1440,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V$10&gt;TODAY(),EB.UJAustritt=""),0,V55),
IF(AND(V$10&gt;TODAY(),EB.UJAustritt=""),U56,U56+V55)),"")</f>
        <v>0</v>
      </c>
      <c r="W56" s="247">
        <f ca="1">IF(EB.Anwendung&lt;&gt;"",IF(DAY(W$10)=1,IF(MONTH(Monat.Tag1)=1,ROUND(EB.ÜVMMS*1440,0)/1440,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W$10&gt;TODAY(),EB.UJAustritt=""),0,W55),
IF(AND(W$10&gt;TODAY(),EB.UJAustritt=""),V56,V56+W55)),"")</f>
        <v>0</v>
      </c>
      <c r="X56" s="247">
        <f ca="1">IF(EB.Anwendung&lt;&gt;"",IF(DAY(X$10)=1,IF(MONTH(Monat.Tag1)=1,ROUND(EB.ÜVMMS*1440,0)/1440,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X$10&gt;TODAY(),EB.UJAustritt=""),0,X55),
IF(AND(X$10&gt;TODAY(),EB.UJAustritt=""),W56,W56+X55)),"")</f>
        <v>0</v>
      </c>
      <c r="Y56" s="247">
        <f ca="1">IF(EB.Anwendung&lt;&gt;"",IF(DAY(Y$10)=1,IF(MONTH(Monat.Tag1)=1,ROUND(EB.ÜVMMS*1440,0)/1440,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Y$10&gt;TODAY(),EB.UJAustritt=""),0,Y55),
IF(AND(Y$10&gt;TODAY(),EB.UJAustritt=""),X56,X56+Y55)),"")</f>
        <v>0</v>
      </c>
      <c r="Z56" s="247">
        <f ca="1">IF(EB.Anwendung&lt;&gt;"",IF(DAY(Z$10)=1,IF(MONTH(Monat.Tag1)=1,ROUND(EB.ÜVMMS*1440,0)/1440,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Z$10&gt;TODAY(),EB.UJAustritt=""),0,Z55),
IF(AND(Z$10&gt;TODAY(),EB.UJAustritt=""),Y56,Y56+Z55)),"")</f>
        <v>0</v>
      </c>
      <c r="AA56" s="247">
        <f ca="1">IF(EB.Anwendung&lt;&gt;"",IF(DAY(AA$10)=1,IF(MONTH(Monat.Tag1)=1,ROUND(EB.ÜVMMS*1440,0)/1440,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A$10&gt;TODAY(),EB.UJAustritt=""),0,AA55),
IF(AND(AA$10&gt;TODAY(),EB.UJAustritt=""),Z56,Z56+AA55)),"")</f>
        <v>0</v>
      </c>
      <c r="AB56" s="247">
        <f ca="1">IF(EB.Anwendung&lt;&gt;"",IF(DAY(AB$10)=1,IF(MONTH(Monat.Tag1)=1,ROUND(EB.ÜVMMS*1440,0)/1440,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B$10&gt;TODAY(),EB.UJAustritt=""),0,AB55),
IF(AND(AB$10&gt;TODAY(),EB.UJAustritt=""),AA56,AA56+AB55)),"")</f>
        <v>0</v>
      </c>
      <c r="AC56" s="247">
        <f ca="1">IF(EB.Anwendung&lt;&gt;"",IF(DAY(AC$10)=1,IF(MONTH(Monat.Tag1)=1,ROUND(EB.ÜVMMS*1440,0)/1440,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C$10&gt;TODAY(),EB.UJAustritt=""),0,AC55),
IF(AND(AC$10&gt;TODAY(),EB.UJAustritt=""),AB56,AB56+AC55)),"")</f>
        <v>0</v>
      </c>
      <c r="AD56" s="247">
        <f ca="1">IF(EB.Anwendung&lt;&gt;"",IF(DAY(AD$10)=1,IF(MONTH(Monat.Tag1)=1,ROUND(EB.ÜVMMS*1440,0)/1440,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D$10&gt;TODAY(),EB.UJAustritt=""),0,AD55),
IF(AND(AD$10&gt;TODAY(),EB.UJAustritt=""),AC56,AC56+AD55)),"")</f>
        <v>0</v>
      </c>
      <c r="AE56" s="247">
        <f ca="1">IF(EB.Anwendung&lt;&gt;"",IF(DAY(AE$10)=1,IF(MONTH(Monat.Tag1)=1,ROUND(EB.ÜVMMS*1440,0)/1440,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E$10&gt;TODAY(),EB.UJAustritt=""),0,AE55),
IF(AND(AE$10&gt;TODAY(),EB.UJAustritt=""),AD56,AD56+AE55)),"")</f>
        <v>0</v>
      </c>
      <c r="AF56" s="205" t="str">
        <f t="shared" si="14"/>
        <v>current extra/minus hours</v>
      </c>
      <c r="AG56" s="218"/>
      <c r="AH56" s="238">
        <f ca="1">OFFSET(B56,0,DAY(EOMONTH(Monat.Tag1,0))-1,1,1)</f>
        <v>0</v>
      </c>
      <c r="AI56" s="214"/>
      <c r="AJ56" s="209"/>
      <c r="AK56" s="209"/>
      <c r="AL56" s="209"/>
      <c r="AM56" s="208"/>
      <c r="AN56" s="209"/>
      <c r="AO56" s="209"/>
      <c r="AP56" s="119"/>
    </row>
    <row r="57" spans="1:42" s="42" customFormat="1" ht="15" customHeight="1" outlineLevel="1" x14ac:dyDescent="0.2">
      <c r="A57" s="248"/>
      <c r="B57" s="249"/>
      <c r="C57" s="249"/>
      <c r="D57" s="249"/>
      <c r="E57" s="191"/>
      <c r="F57" s="249"/>
      <c r="G57" s="249"/>
      <c r="H57" s="250"/>
      <c r="I57" s="249"/>
      <c r="J57" s="251"/>
      <c r="K57" s="249"/>
      <c r="L57" s="252"/>
      <c r="M57" s="249"/>
      <c r="N57" s="249"/>
      <c r="O57" s="250"/>
      <c r="P57" s="249"/>
      <c r="Q57" s="191"/>
      <c r="R57" s="249"/>
      <c r="S57" s="252"/>
      <c r="T57" s="249"/>
      <c r="U57" s="249"/>
      <c r="V57" s="250"/>
      <c r="W57" s="249"/>
      <c r="X57" s="253"/>
      <c r="Y57" s="249"/>
      <c r="Z57" s="191"/>
      <c r="AA57" s="249"/>
      <c r="AB57" s="249"/>
      <c r="AC57" s="250"/>
      <c r="AD57" s="249"/>
      <c r="AE57" s="191"/>
      <c r="AF57" s="212" t="s">
        <v>117</v>
      </c>
      <c r="AG57" s="43" t="s">
        <v>2</v>
      </c>
      <c r="AH57" s="73"/>
      <c r="AI57" s="255"/>
      <c r="AJ57" s="256"/>
      <c r="AK57" s="209"/>
      <c r="AL57" s="209"/>
      <c r="AM57" s="208"/>
      <c r="AN57" s="257"/>
      <c r="AO57" s="257"/>
      <c r="AP57" s="163"/>
    </row>
    <row r="58" spans="1:42" s="44" customFormat="1" ht="15" customHeight="1" x14ac:dyDescent="0.2">
      <c r="A58" s="258"/>
      <c r="B58" s="252"/>
      <c r="C58" s="252"/>
      <c r="D58" s="252"/>
      <c r="E58" s="191"/>
      <c r="F58" s="252"/>
      <c r="G58" s="252"/>
      <c r="H58" s="252"/>
      <c r="I58" s="252"/>
      <c r="J58" s="191"/>
      <c r="K58" s="252"/>
      <c r="L58" s="252"/>
      <c r="M58" s="252"/>
      <c r="N58" s="252"/>
      <c r="O58" s="252"/>
      <c r="P58" s="252"/>
      <c r="Q58" s="191"/>
      <c r="R58" s="252"/>
      <c r="S58" s="252"/>
      <c r="T58" s="252"/>
      <c r="U58" s="252"/>
      <c r="V58" s="252"/>
      <c r="W58" s="252"/>
      <c r="X58" s="253"/>
      <c r="Y58" s="252"/>
      <c r="Z58" s="191"/>
      <c r="AA58" s="252"/>
      <c r="AB58" s="252"/>
      <c r="AC58" s="252"/>
      <c r="AD58" s="252"/>
      <c r="AE58" s="191"/>
      <c r="AF58" s="260" t="s">
        <v>78</v>
      </c>
      <c r="AG58" s="218"/>
      <c r="AH58" s="238">
        <f ca="1">IF(AG57="+",(Monat.ZUeZ.Total+AH57),(Monat.ZUeZ.Total-AH57))</f>
        <v>0</v>
      </c>
      <c r="AI58" s="261"/>
      <c r="AJ58" s="262"/>
      <c r="AK58" s="245">
        <f ca="1">IF(EB.Anwendung&lt;&gt;"",IF(MONTH(Monat.Tag1)=1,EB.MMS,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f>
        <v>0</v>
      </c>
      <c r="AL58" s="209"/>
      <c r="AM58" s="246">
        <f ca="1">AH58</f>
        <v>0</v>
      </c>
      <c r="AN58" s="209"/>
      <c r="AO58" s="209"/>
      <c r="AP58" s="131"/>
    </row>
    <row r="59" spans="1:42" s="38" customFormat="1" ht="11.25" customHeight="1" x14ac:dyDescent="0.2">
      <c r="A59" s="220"/>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05"/>
      <c r="AG59" s="188"/>
      <c r="AH59" s="213"/>
      <c r="AI59" s="214"/>
      <c r="AJ59" s="209"/>
      <c r="AK59" s="209"/>
      <c r="AL59" s="209"/>
      <c r="AM59" s="208"/>
      <c r="AN59" s="209"/>
      <c r="AO59" s="209"/>
      <c r="AP59" s="119"/>
    </row>
    <row r="60" spans="1:42" s="38" customFormat="1" ht="15" customHeight="1" x14ac:dyDescent="0.2">
      <c r="A60" s="212" t="s">
        <v>217</v>
      </c>
      <c r="B60" s="263" t="str">
        <f ca="1">IF(EB.Wochenarbeitszeit=50/24,IF(T.50_Vetsuisse,IF(WEEKDAY(B$10,2)=7,MAX(0,SUM(OFFSET(B51,0,-MIN(6,DAY(B$10)-1),1,MIN(7,DAY(B$10))))+IF(AND(MONTH(Monat.Tag1)&lt;&gt;1,DAY(B$10)&lt;7),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-1/24*50),""),""),IF(B45=0,"",B45))</f>
        <v/>
      </c>
      <c r="C60" s="263" t="str">
        <f ca="1">IF(EB.Wochenarbeitszeit=50/24,IF(T.50_Vetsuisse,IF(WEEKDAY(C$10,2)=7,MAX(0,SUM(OFFSET(C51,0,-MIN(6,DAY(C$10)-1),1,MIN(7,DAY(C$10))))+IF(AND(MONTH(Monat.Tag1)&lt;&gt;1,DAY(C$10)&lt;7),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-1/24*50),""),""),IF(C45=0,"",C45))</f>
        <v/>
      </c>
      <c r="D60" s="263" t="str">
        <f ca="1">IF(EB.Wochenarbeitszeit=50/24,IF(T.50_Vetsuisse,IF(WEEKDAY(D$10,2)=7,MAX(0,SUM(OFFSET(D51,0,-MIN(6,DAY(D$10)-1),1,MIN(7,DAY(D$10))))+IF(AND(MONTH(Monat.Tag1)&lt;&gt;1,DAY(D$10)&lt;7),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-1/24*50),""),""),IF(D45=0,"",D45))</f>
        <v/>
      </c>
      <c r="E60" s="264" t="str">
        <f ca="1">IF(EB.Wochenarbeitszeit=50/24,IF(T.50_Vetsuisse,IF(WEEKDAY(E$10,2)=7,MAX(0,SUM(OFFSET(E51,0,-MIN(6,DAY(E$10)-1),1,MIN(7,DAY(E$10))))+IF(AND(MONTH(Monat.Tag1)&lt;&gt;1,DAY(E$10)&lt;7),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-1/24*50),""),""),IF(E45=0,"",E45))</f>
        <v/>
      </c>
      <c r="F60" s="263" t="str">
        <f ca="1">IF(EB.Wochenarbeitszeit=50/24,IF(T.50_Vetsuisse,IF(WEEKDAY(F$10,2)=7,MAX(0,SUM(OFFSET(F51,0,-MIN(6,DAY(F$10)-1),1,MIN(7,DAY(F$10))))+IF(AND(MONTH(Monat.Tag1)&lt;&gt;1,DAY(F$10)&lt;7),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-1/24*50),""),""),IF(F45=0,"",F45))</f>
        <v/>
      </c>
      <c r="G60" s="263" t="str">
        <f ca="1">IF(EB.Wochenarbeitszeit=50/24,IF(T.50_Vetsuisse,IF(WEEKDAY(G$10,2)=7,MAX(0,SUM(OFFSET(G51,0,-MIN(6,DAY(G$10)-1),1,MIN(7,DAY(G$10))))+IF(AND(MONTH(Monat.Tag1)&lt;&gt;1,DAY(G$10)&lt;7),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-1/24*50),""),""),IF(G45=0,"",G45))</f>
        <v/>
      </c>
      <c r="H60" s="263" t="str">
        <f ca="1">IF(EB.Wochenarbeitszeit=50/24,IF(T.50_Vetsuisse,IF(WEEKDAY(H$10,2)=7,MAX(0,SUM(OFFSET(H51,0,-MIN(6,DAY(H$10)-1),1,MIN(7,DAY(H$10))))+IF(AND(MONTH(Monat.Tag1)&lt;&gt;1,DAY(H$10)&lt;7),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-1/24*50),""),""),IF(H45=0,"",H45))</f>
        <v/>
      </c>
      <c r="I60" s="263" t="str">
        <f ca="1">IF(EB.Wochenarbeitszeit=50/24,IF(T.50_Vetsuisse,IF(WEEKDAY(I$10,2)=7,MAX(0,SUM(OFFSET(I51,0,-MIN(6,DAY(I$10)-1),1,MIN(7,DAY(I$10))))+IF(AND(MONTH(Monat.Tag1)&lt;&gt;1,DAY(I$10)&lt;7),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-1/24*50),""),""),IF(I45=0,"",I45))</f>
        <v/>
      </c>
      <c r="J60" s="264" t="str">
        <f ca="1">IF(EB.Wochenarbeitszeit=50/24,IF(T.50_Vetsuisse,IF(WEEKDAY(J$10,2)=7,MAX(0,SUM(OFFSET(J51,0,-MIN(6,DAY(J$10)-1),1,MIN(7,DAY(J$10))))+IF(AND(MONTH(Monat.Tag1)&lt;&gt;1,DAY(J$10)&lt;7),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-1/24*50),""),""),IF(J45=0,"",J45))</f>
        <v/>
      </c>
      <c r="K60" s="263" t="str">
        <f ca="1">IF(EB.Wochenarbeitszeit=50/24,IF(T.50_Vetsuisse,IF(WEEKDAY(K$10,2)=7,MAX(0,SUM(OFFSET(K51,0,-MIN(6,DAY(K$10)-1),1,MIN(7,DAY(K$10))))+IF(AND(MONTH(Monat.Tag1)&lt;&gt;1,DAY(K$10)&lt;7),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-1/24*50),""),""),IF(K45=0,"",K45))</f>
        <v/>
      </c>
      <c r="L60" s="264" t="str">
        <f ca="1">IF(EB.Wochenarbeitszeit=50/24,IF(T.50_Vetsuisse,IF(WEEKDAY(L$10,2)=7,MAX(0,SUM(OFFSET(L51,0,-MIN(6,DAY(L$10)-1),1,MIN(7,DAY(L$10))))+IF(AND(MONTH(Monat.Tag1)&lt;&gt;1,DAY(L$10)&lt;7),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-1/24*50),""),""),IF(L45=0,"",L45))</f>
        <v/>
      </c>
      <c r="M60" s="263" t="str">
        <f ca="1">IF(EB.Wochenarbeitszeit=50/24,IF(T.50_Vetsuisse,IF(WEEKDAY(M$10,2)=7,MAX(0,SUM(OFFSET(M51,0,-MIN(6,DAY(M$10)-1),1,MIN(7,DAY(M$10))))+IF(AND(MONTH(Monat.Tag1)&lt;&gt;1,DAY(M$10)&lt;7),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-1/24*50),""),""),IF(M45=0,"",M45))</f>
        <v/>
      </c>
      <c r="N60" s="263" t="str">
        <f ca="1">IF(EB.Wochenarbeitszeit=50/24,IF(T.50_Vetsuisse,IF(WEEKDAY(N$10,2)=7,MAX(0,SUM(OFFSET(N51,0,-MIN(6,DAY(N$10)-1),1,MIN(7,DAY(N$10))))+IF(AND(MONTH(Monat.Tag1)&lt;&gt;1,DAY(N$10)&lt;7),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-1/24*50),""),""),IF(N45=0,"",N45))</f>
        <v/>
      </c>
      <c r="O60" s="263" t="str">
        <f ca="1">IF(EB.Wochenarbeitszeit=50/24,IF(T.50_Vetsuisse,IF(WEEKDAY(O$10,2)=7,MAX(0,SUM(OFFSET(O51,0,-MIN(6,DAY(O$10)-1),1,MIN(7,DAY(O$10))))+IF(AND(MONTH(Monat.Tag1)&lt;&gt;1,DAY(O$10)&lt;7),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-1/24*50),""),""),IF(O45=0,"",O45))</f>
        <v/>
      </c>
      <c r="P60" s="263" t="str">
        <f ca="1">IF(EB.Wochenarbeitszeit=50/24,IF(T.50_Vetsuisse,IF(WEEKDAY(P$10,2)=7,MAX(0,SUM(OFFSET(P51,0,-MIN(6,DAY(P$10)-1),1,MIN(7,DAY(P$10))))+IF(AND(MONTH(Monat.Tag1)&lt;&gt;1,DAY(P$10)&lt;7),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-1/24*50),""),""),IF(P45=0,"",P45))</f>
        <v/>
      </c>
      <c r="Q60" s="264" t="str">
        <f ca="1">IF(EB.Wochenarbeitszeit=50/24,IF(T.50_Vetsuisse,IF(WEEKDAY(Q$10,2)=7,MAX(0,SUM(OFFSET(Q51,0,-MIN(6,DAY(Q$10)-1),1,MIN(7,DAY(Q$10))))+IF(AND(MONTH(Monat.Tag1)&lt;&gt;1,DAY(Q$10)&lt;7),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-1/24*50),""),""),IF(Q45=0,"",Q45))</f>
        <v/>
      </c>
      <c r="R60" s="263" t="str">
        <f ca="1">IF(EB.Wochenarbeitszeit=50/24,IF(T.50_Vetsuisse,IF(WEEKDAY(R$10,2)=7,MAX(0,SUM(OFFSET(R51,0,-MIN(6,DAY(R$10)-1),1,MIN(7,DAY(R$10))))+IF(AND(MONTH(Monat.Tag1)&lt;&gt;1,DAY(R$10)&lt;7),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-1/24*50),""),""),IF(R45=0,"",R45))</f>
        <v/>
      </c>
      <c r="S60" s="264" t="str">
        <f ca="1">IF(EB.Wochenarbeitszeit=50/24,IF(T.50_Vetsuisse,IF(WEEKDAY(S$10,2)=7,MAX(0,SUM(OFFSET(S51,0,-MIN(6,DAY(S$10)-1),1,MIN(7,DAY(S$10))))+IF(AND(MONTH(Monat.Tag1)&lt;&gt;1,DAY(S$10)&lt;7),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-1/24*50),""),""),IF(S45=0,"",S45))</f>
        <v/>
      </c>
      <c r="T60" s="264" t="str">
        <f ca="1">IF(EB.Wochenarbeitszeit=50/24,IF(T.50_Vetsuisse,IF(WEEKDAY(T$10,2)=7,MAX(0,SUM(OFFSET(T51,0,-MIN(6,DAY(T$10)-1),1,MIN(7,DAY(T$10))))+IF(AND(MONTH(Monat.Tag1)&lt;&gt;1,DAY(T$10)&lt;7),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-1/24*50),""),""),IF(T45=0,"",T45))</f>
        <v/>
      </c>
      <c r="U60" s="263" t="str">
        <f ca="1">IF(EB.Wochenarbeitszeit=50/24,IF(T.50_Vetsuisse,IF(WEEKDAY(U$10,2)=7,MAX(0,SUM(OFFSET(U51,0,-MIN(6,DAY(U$10)-1),1,MIN(7,DAY(U$10))))+IF(AND(MONTH(Monat.Tag1)&lt;&gt;1,DAY(U$10)&lt;7),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-1/24*50),""),""),IF(U45=0,"",U45))</f>
        <v/>
      </c>
      <c r="V60" s="263" t="str">
        <f ca="1">IF(EB.Wochenarbeitszeit=50/24,IF(T.50_Vetsuisse,IF(WEEKDAY(V$10,2)=7,MAX(0,SUM(OFFSET(V51,0,-MIN(6,DAY(V$10)-1),1,MIN(7,DAY(V$10))))+IF(AND(MONTH(Monat.Tag1)&lt;&gt;1,DAY(V$10)&lt;7),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-1/24*50),""),""),IF(V45=0,"",V45))</f>
        <v/>
      </c>
      <c r="W60" s="263" t="str">
        <f ca="1">IF(EB.Wochenarbeitszeit=50/24,IF(T.50_Vetsuisse,IF(WEEKDAY(W$10,2)=7,MAX(0,SUM(OFFSET(W51,0,-MIN(6,DAY(W$10)-1),1,MIN(7,DAY(W$10))))+IF(AND(MONTH(Monat.Tag1)&lt;&gt;1,DAY(W$10)&lt;7),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-1/24*50),""),""),IF(W45=0,"",W45))</f>
        <v/>
      </c>
      <c r="X60" s="264" t="str">
        <f ca="1">IF(EB.Wochenarbeitszeit=50/24,IF(T.50_Vetsuisse,IF(WEEKDAY(X$10,2)=7,MAX(0,SUM(OFFSET(X51,0,-MIN(6,DAY(X$10)-1),1,MIN(7,DAY(X$10))))+IF(AND(MONTH(Monat.Tag1)&lt;&gt;1,DAY(X$10)&lt;7),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-1/24*50),""),""),IF(X45=0,"",X45))</f>
        <v/>
      </c>
      <c r="Y60" s="263" t="str">
        <f ca="1">IF(EB.Wochenarbeitszeit=50/24,IF(T.50_Vetsuisse,IF(WEEKDAY(Y$10,2)=7,MAX(0,SUM(OFFSET(Y51,0,-MIN(6,DAY(Y$10)-1),1,MIN(7,DAY(Y$10))))+IF(AND(MONTH(Monat.Tag1)&lt;&gt;1,DAY(Y$10)&lt;7),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-1/24*50),""),""),IF(Y45=0,"",Y45))</f>
        <v/>
      </c>
      <c r="Z60" s="265" t="str">
        <f ca="1">IF(EB.Wochenarbeitszeit=50/24,IF(T.50_Vetsuisse,IF(WEEKDAY(Z$10,2)=7,MAX(0,SUM(OFFSET(Z51,0,-MIN(6,DAY(Z$10)-1),1,MIN(7,DAY(Z$10))))+IF(AND(MONTH(Monat.Tag1)&lt;&gt;1,DAY(Z$10)&lt;7),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-1/24*50),""),""),IF(Z45=0,"",Z45))</f>
        <v/>
      </c>
      <c r="AA60" s="263" t="str">
        <f ca="1">IF(EB.Wochenarbeitszeit=50/24,IF(T.50_Vetsuisse,IF(WEEKDAY(AA$10,2)=7,MAX(0,SUM(OFFSET(AA51,0,-MIN(6,DAY(AA$10)-1),1,MIN(7,DAY(AA$10))))+IF(AND(MONTH(Monat.Tag1)&lt;&gt;1,DAY(AA$10)&lt;7),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-1/24*50),""),""),IF(AA45=0,"",AA45))</f>
        <v/>
      </c>
      <c r="AB60" s="263" t="str">
        <f ca="1">IF(EB.Wochenarbeitszeit=50/24,IF(T.50_Vetsuisse,IF(WEEKDAY(AB$10,2)=7,MAX(0,SUM(OFFSET(AB51,0,-MIN(6,DAY(AB$10)-1),1,MIN(7,DAY(AB$10))))+IF(AND(MONTH(Monat.Tag1)&lt;&gt;1,DAY(AB$10)&lt;7),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-1/24*50),""),""),IF(AB45=0,"",AB45))</f>
        <v/>
      </c>
      <c r="AC60" s="263" t="str">
        <f ca="1">IF(EB.Wochenarbeitszeit=50/24,IF(T.50_Vetsuisse,IF(WEEKDAY(AC$10,2)=7,MAX(0,SUM(OFFSET(AC51,0,-MIN(6,DAY(AC$10)-1),1,MIN(7,DAY(AC$10))))+IF(AND(MONTH(Monat.Tag1)&lt;&gt;1,DAY(AC$10)&lt;7),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-1/24*50),""),""),IF(AC45=0,"",AC45))</f>
        <v/>
      </c>
      <c r="AD60" s="263" t="str">
        <f ca="1">IF(EB.Wochenarbeitszeit=50/24,IF(T.50_Vetsuisse,IF(WEEKDAY(AD$10,2)=7,MAX(0,SUM(OFFSET(AD51,0,-MIN(6,DAY(AD$10)-1),1,MIN(7,DAY(AD$10))))+IF(AND(MONTH(Monat.Tag1)&lt;&gt;1,DAY(AD$10)&lt;7),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-1/24*50),""),""),IF(AD45=0,"",AD45))</f>
        <v/>
      </c>
      <c r="AE60" s="264" t="str">
        <f ca="1">IF(EB.Wochenarbeitszeit=50/24,IF(T.50_Vetsuisse,IF(WEEKDAY(AE$10,2)=7,MAX(0,SUM(OFFSET(AE51,0,-MIN(6,DAY(AE$10)-1),1,MIN(7,DAY(AE$10))))+IF(AND(MONTH(Monat.Tag1)&lt;&gt;1,DAY(AE$10)&lt;7),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-1/24*50),""),""),IF(AE45=0,"",AE45))</f>
        <v/>
      </c>
      <c r="AF60" s="205" t="str">
        <f>A60</f>
        <v>Ordered overtime</v>
      </c>
      <c r="AG60" s="218"/>
      <c r="AH60" s="238">
        <f ca="1">SUM(B60:AE60)</f>
        <v>0</v>
      </c>
      <c r="AI60" s="214"/>
      <c r="AJ60" s="209"/>
      <c r="AK60" s="245">
        <f ca="1">IF(EB.Anwendung&lt;&gt;"",IF(MONTH(Monat.Tag1)=1,0,IF(MONTH(Monat.Tag1)=2,January!Monat.AnUeZUeVM,IF(MONTH(Monat.Tag1)=3,February!Monat.AnUeZUeVM,IF(MONTH(Monat.Tag1)=4,March!Monat.AnUeZUeVM,IF(MONTH(Monat.Tag1)=5,April!Monat.AnUeZUeVM,IF(MONTH(Monat.Tag1)=6,May!Monat.AnUeZUeVM,IF(MONTH(Monat.Tag1)=7,June!Monat.AnUeZUeVM,IF(MONTH(Monat.Tag1)=8,July!Monat.AnUeZUeVM,IF(MONTH(Monat.Tag1)=9,August!Monat.AnUeZUeVM,IF(MONTH(Monat.Tag1)=10,September!Monat.AnUeZUeVM,IF(MONTH(Monat.Tag1)=11,October!Monat.AnUeZUeVM,IF(MONTH(Monat.Tag1)=12,November!Monat.AnUeZUeVM,"")))))))))))),"")</f>
        <v>0</v>
      </c>
      <c r="AL60" s="209"/>
      <c r="AM60" s="246">
        <f ca="1">AH60+AK60</f>
        <v>0</v>
      </c>
      <c r="AN60" s="246">
        <f ca="1">SUM(OFFSET(Jahr.AngÜZ,-12,0,MONTH(Monat.Tag1),1))</f>
        <v>0</v>
      </c>
      <c r="AO60" s="246">
        <f ca="1">Jahr.AngÜZ</f>
        <v>0</v>
      </c>
      <c r="AP60" s="119"/>
    </row>
    <row r="61" spans="1:42" s="38" customFormat="1" ht="15" customHeight="1" x14ac:dyDescent="0.2">
      <c r="A61" s="212" t="s">
        <v>218</v>
      </c>
      <c r="B61" s="27"/>
      <c r="C61" s="27"/>
      <c r="D61" s="27"/>
      <c r="E61" s="27"/>
      <c r="F61" s="27"/>
      <c r="G61" s="27"/>
      <c r="H61" s="27"/>
      <c r="I61" s="27"/>
      <c r="J61" s="27"/>
      <c r="K61" s="27"/>
      <c r="L61" s="27"/>
      <c r="M61" s="27"/>
      <c r="N61" s="27"/>
      <c r="O61" s="27"/>
      <c r="P61" s="27"/>
      <c r="Q61" s="27"/>
      <c r="R61" s="27"/>
      <c r="S61" s="27"/>
      <c r="T61" s="27"/>
      <c r="U61" s="27"/>
      <c r="V61" s="27"/>
      <c r="W61" s="27"/>
      <c r="X61" s="27"/>
      <c r="Y61" s="27"/>
      <c r="Z61" s="39"/>
      <c r="AA61" s="27"/>
      <c r="AB61" s="27"/>
      <c r="AC61" s="27"/>
      <c r="AD61" s="27"/>
      <c r="AE61" s="27"/>
      <c r="AF61" s="205" t="str">
        <f>A61</f>
        <v>Compensation overtime</v>
      </c>
      <c r="AG61" s="218"/>
      <c r="AH61" s="238">
        <f>SUM(B61:AE61)</f>
        <v>0</v>
      </c>
      <c r="AI61" s="214"/>
      <c r="AJ61" s="209"/>
      <c r="AK61" s="209"/>
      <c r="AL61" s="209"/>
      <c r="AM61" s="208"/>
      <c r="AN61" s="209"/>
      <c r="AO61" s="209"/>
      <c r="AP61" s="119"/>
    </row>
    <row r="62" spans="1:42" s="42" customFormat="1" ht="15" hidden="1" customHeight="1" outlineLevel="1" x14ac:dyDescent="0.2">
      <c r="A62" s="248"/>
      <c r="B62" s="253"/>
      <c r="C62" s="253"/>
      <c r="D62" s="253"/>
      <c r="E62" s="191"/>
      <c r="F62" s="253"/>
      <c r="G62" s="253"/>
      <c r="H62" s="253"/>
      <c r="I62" s="253"/>
      <c r="J62" s="251"/>
      <c r="K62" s="253"/>
      <c r="L62" s="252"/>
      <c r="M62" s="253"/>
      <c r="N62" s="253"/>
      <c r="O62" s="253"/>
      <c r="P62" s="253"/>
      <c r="Q62" s="191"/>
      <c r="R62" s="253"/>
      <c r="S62" s="252"/>
      <c r="T62" s="253"/>
      <c r="U62" s="253"/>
      <c r="V62" s="253"/>
      <c r="W62" s="253"/>
      <c r="X62" s="253"/>
      <c r="Y62" s="253"/>
      <c r="Z62" s="191"/>
      <c r="AA62" s="253"/>
      <c r="AB62" s="253"/>
      <c r="AC62" s="253"/>
      <c r="AD62" s="253"/>
      <c r="AE62" s="191"/>
      <c r="AF62" s="267" t="s">
        <v>118</v>
      </c>
      <c r="AG62" s="268"/>
      <c r="AH62" s="238">
        <f ca="1">Monat.AnUeZ.Total-Monat.KomUeZ.Total</f>
        <v>0</v>
      </c>
      <c r="AI62" s="214"/>
      <c r="AJ62" s="257"/>
      <c r="AK62" s="257"/>
      <c r="AL62" s="209"/>
      <c r="AM62" s="257"/>
      <c r="AN62" s="257"/>
      <c r="AO62" s="257"/>
      <c r="AP62" s="163"/>
    </row>
    <row r="63" spans="1:42" s="38" customFormat="1" ht="15" customHeight="1" collapsed="1" x14ac:dyDescent="0.2">
      <c r="A63" s="220"/>
      <c r="B63" s="191"/>
      <c r="C63" s="191"/>
      <c r="D63" s="191"/>
      <c r="E63" s="191"/>
      <c r="F63" s="191"/>
      <c r="G63" s="191"/>
      <c r="H63" s="191"/>
      <c r="I63" s="191"/>
      <c r="J63" s="191"/>
      <c r="K63" s="191"/>
      <c r="L63" s="252"/>
      <c r="M63" s="191"/>
      <c r="N63" s="191"/>
      <c r="O63" s="191"/>
      <c r="P63" s="191"/>
      <c r="Q63" s="191"/>
      <c r="R63" s="191"/>
      <c r="S63" s="252"/>
      <c r="T63" s="191"/>
      <c r="U63" s="191"/>
      <c r="V63" s="191"/>
      <c r="W63" s="191"/>
      <c r="X63" s="253"/>
      <c r="Y63" s="191"/>
      <c r="Z63" s="191"/>
      <c r="AA63" s="191"/>
      <c r="AB63" s="191"/>
      <c r="AC63" s="191"/>
      <c r="AD63" s="191"/>
      <c r="AE63" s="191"/>
      <c r="AF63" s="212" t="s">
        <v>215</v>
      </c>
      <c r="AG63" s="218"/>
      <c r="AH63" s="238">
        <f ca="1">IF(T.50_Vetsuisse,0,IF(AND(AH62&gt;0,Monat.ÜZZSBerechtigt=INDEX(T.JaNein.Bereich,1,1)),ROUND(AH62*0.25*1440,0)/1440,0))</f>
        <v>0</v>
      </c>
      <c r="AI63" s="214"/>
      <c r="AJ63" s="209"/>
      <c r="AK63" s="257"/>
      <c r="AL63" s="209"/>
      <c r="AM63" s="257"/>
      <c r="AN63" s="257"/>
      <c r="AO63" s="257"/>
      <c r="AP63" s="119"/>
    </row>
    <row r="64" spans="1:42" s="38" customFormat="1" ht="15" hidden="1" customHeight="1" outlineLevel="1" x14ac:dyDescent="0.2">
      <c r="A64" s="220"/>
      <c r="B64" s="191"/>
      <c r="C64" s="191"/>
      <c r="D64" s="191"/>
      <c r="E64" s="191"/>
      <c r="F64" s="191"/>
      <c r="G64" s="191"/>
      <c r="H64" s="191"/>
      <c r="I64" s="191"/>
      <c r="J64" s="191"/>
      <c r="K64" s="191"/>
      <c r="L64" s="252"/>
      <c r="M64" s="191"/>
      <c r="N64" s="191"/>
      <c r="O64" s="191"/>
      <c r="P64" s="191"/>
      <c r="Q64" s="191"/>
      <c r="R64" s="191"/>
      <c r="S64" s="252"/>
      <c r="T64" s="191"/>
      <c r="U64" s="191"/>
      <c r="V64" s="191"/>
      <c r="W64" s="191"/>
      <c r="X64" s="253"/>
      <c r="Y64" s="191"/>
      <c r="Z64" s="191"/>
      <c r="AA64" s="191"/>
      <c r="AB64" s="191"/>
      <c r="AC64" s="191"/>
      <c r="AD64" s="191"/>
      <c r="AE64" s="191"/>
      <c r="AF64" s="212" t="s">
        <v>119</v>
      </c>
      <c r="AG64" s="45" t="s">
        <v>2</v>
      </c>
      <c r="AH64" s="46"/>
      <c r="AI64" s="270"/>
      <c r="AJ64" s="209"/>
      <c r="AK64" s="257"/>
      <c r="AL64" s="209"/>
      <c r="AM64" s="257"/>
      <c r="AN64" s="257"/>
      <c r="AO64" s="257"/>
      <c r="AP64" s="119"/>
    </row>
    <row r="65" spans="1:42" s="42" customFormat="1" ht="15" customHeight="1" collapsed="1" x14ac:dyDescent="0.2">
      <c r="A65" s="248"/>
      <c r="B65" s="253"/>
      <c r="C65" s="253"/>
      <c r="D65" s="253"/>
      <c r="E65" s="191"/>
      <c r="F65" s="253"/>
      <c r="G65" s="253"/>
      <c r="H65" s="253"/>
      <c r="I65" s="253"/>
      <c r="J65" s="191"/>
      <c r="K65" s="253"/>
      <c r="L65" s="252"/>
      <c r="M65" s="253"/>
      <c r="N65" s="253"/>
      <c r="O65" s="253"/>
      <c r="P65" s="253"/>
      <c r="Q65" s="191"/>
      <c r="R65" s="253"/>
      <c r="S65" s="252"/>
      <c r="T65" s="253"/>
      <c r="U65" s="253"/>
      <c r="V65" s="253"/>
      <c r="W65" s="253"/>
      <c r="X65" s="253"/>
      <c r="Y65" s="253"/>
      <c r="Z65" s="191"/>
      <c r="AA65" s="253"/>
      <c r="AB65" s="253"/>
      <c r="AC65" s="253"/>
      <c r="AD65" s="253"/>
      <c r="AE65" s="191"/>
      <c r="AF65" s="260" t="s">
        <v>219</v>
      </c>
      <c r="AG65" s="268"/>
      <c r="AH65" s="238">
        <f ca="1">IF(AG64="+",(AH62+AH63+AH64),(AH62+AH63-AH64))</f>
        <v>0</v>
      </c>
      <c r="AI65" s="261"/>
      <c r="AJ65" s="271"/>
      <c r="AK65" s="245">
        <f ca="1">IF(EB.Anwendung&lt;&gt;"",IF(MONTH(Monat.Tag1)=1,EB.UeZ,IF(MONTH(Monat.Tag1)=2,January!Monat.UeZUeVM,IF(MONTH(Monat.Tag1)=3,February!Monat.UeZUeVM,IF(MONTH(Monat.Tag1)=4,March!Monat.UeZUeVM,IF(MONTH(Monat.Tag1)=5,April!Monat.UeZUeVM,IF(MONTH(Monat.Tag1)=6,May!Monat.UeZUeVM,IF(MONTH(Monat.Tag1)=7,June!Monat.UeZUeVM,IF(MONTH(Monat.Tag1)=8,July!Monat.UeZUeVM,IF(MONTH(Monat.Tag1)=9,August!Monat.UeZUeVM,IF(MONTH(Monat.Tag1)=10,September!Monat.UeZUeVM,IF(MONTH(Monat.Tag1)=11,October!Monat.UeZUeVM,IF(MONTH(Monat.Tag1)=12,November!Monat.UeZUeVM,"")))))))))))),"")</f>
        <v>0</v>
      </c>
      <c r="AL65" s="209"/>
      <c r="AM65" s="246">
        <f ca="1">AH65+AK65</f>
        <v>0</v>
      </c>
      <c r="AN65" s="246">
        <f ca="1">SUM(OFFSET(J.UeZ.Total,-12,0,MONTH(Monat.Tag1),1))</f>
        <v>0</v>
      </c>
      <c r="AO65" s="246">
        <f ca="1">J.UeZ.Total</f>
        <v>0</v>
      </c>
      <c r="AP65" s="163"/>
    </row>
    <row r="66" spans="1:42" s="38" customFormat="1" ht="11.25" customHeight="1" outlineLevel="1" x14ac:dyDescent="0.2">
      <c r="A66" s="220"/>
      <c r="B66" s="354">
        <f ca="1">IF(EB.Anwendung&lt;&gt;"",
IF(AND(B$10&gt;TODAY(),$W$7&gt;0,B52&lt;=0),0,
IF(AND(B$10&gt;TODAY(),$W$7&lt;=0,B53&lt;=0),0,
IF(B85&lt;=0,1,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f>
        <v>0</v>
      </c>
      <c r="C66" s="354">
        <f ca="1">IF(EB.Anwendung&lt;&gt;"",
IF(AND(C$10&gt;TODAY(),$W$7&gt;0,C52&lt;=0),0,
IF(AND(C$10&gt;TODAY(),$W$7&lt;=0,C53&lt;=0),0,
IF(C85&lt;=0,1,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f>
        <v>1</v>
      </c>
      <c r="D66" s="354">
        <f ca="1">IF(EB.Anwendung&lt;&gt;"",
IF(AND(D$10&gt;TODAY(),$W$7&gt;0,D52&lt;=0),0,
IF(AND(D$10&gt;TODAY(),$W$7&lt;=0,D53&lt;=0),0,
IF(D85&lt;=0,1,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f>
        <v>1</v>
      </c>
      <c r="E66" s="354">
        <f ca="1">IF(EB.Anwendung&lt;&gt;"",
IF(AND(E$10&gt;TODAY(),$W$7&gt;0,E52&lt;=0),0,
IF(AND(E$10&gt;TODAY(),$W$7&lt;=0,E53&lt;=0),0,
IF(E85&lt;=0,1,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f>
        <v>1</v>
      </c>
      <c r="F66" s="354">
        <f ca="1">IF(EB.Anwendung&lt;&gt;"",
IF(AND(F$10&gt;TODAY(),$W$7&gt;0,F52&lt;=0),0,
IF(AND(F$10&gt;TODAY(),$W$7&lt;=0,F53&lt;=0),0,
IF(F85&lt;=0,1,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f>
        <v>1</v>
      </c>
      <c r="G66" s="354">
        <f ca="1">IF(EB.Anwendung&lt;&gt;"",
IF(AND(G$10&gt;TODAY(),$W$7&gt;0,G52&lt;=0),0,
IF(AND(G$10&gt;TODAY(),$W$7&lt;=0,G53&lt;=0),0,
IF(G85&lt;=0,1,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f>
        <v>1</v>
      </c>
      <c r="H66" s="354">
        <f ca="1">IF(EB.Anwendung&lt;&gt;"",
IF(AND(H$10&gt;TODAY(),$W$7&gt;0,H52&lt;=0),0,
IF(AND(H$10&gt;TODAY(),$W$7&lt;=0,H53&lt;=0),0,
IF(H85&lt;=0,1,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f>
        <v>0</v>
      </c>
      <c r="I66" s="354">
        <f ca="1">IF(EB.Anwendung&lt;&gt;"",
IF(AND(I$10&gt;TODAY(),$W$7&gt;0,I52&lt;=0),0,
IF(AND(I$10&gt;TODAY(),$W$7&lt;=0,I53&lt;=0),0,
IF(I85&lt;=0,1,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f>
        <v>0</v>
      </c>
      <c r="J66" s="354">
        <f ca="1">IF(EB.Anwendung&lt;&gt;"",
IF(AND(J$10&gt;TODAY(),$W$7&gt;0,J52&lt;=0),0,
IF(AND(J$10&gt;TODAY(),$W$7&lt;=0,J53&lt;=0),0,
IF(J85&lt;=0,1,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f>
        <v>1</v>
      </c>
      <c r="K66" s="354">
        <f ca="1">IF(EB.Anwendung&lt;&gt;"",
IF(AND(K$10&gt;TODAY(),$W$7&gt;0,K52&lt;=0),0,
IF(AND(K$10&gt;TODAY(),$W$7&lt;=0,K53&lt;=0),0,
IF(K85&lt;=0,1,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f>
        <v>1</v>
      </c>
      <c r="L66" s="431">
        <f ca="1">IF(EB.Anwendung&lt;&gt;"",
IF(AND(L$10&gt;TODAY(),$W$7&gt;0,L52&lt;=0),0,
IF(AND(L$10&gt;TODAY(),$W$7&lt;=0,L53&lt;=0),0,
IF(L85&lt;=0,1,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f>
        <v>1</v>
      </c>
      <c r="M66" s="354">
        <f ca="1">IF(EB.Anwendung&lt;&gt;"",
IF(AND(M$10&gt;TODAY(),$W$7&gt;0,M52&lt;=0),0,
IF(AND(M$10&gt;TODAY(),$W$7&lt;=0,M53&lt;=0),0,
IF(M85&lt;=0,1,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f>
        <v>1</v>
      </c>
      <c r="N66" s="354">
        <f ca="1">IF(EB.Anwendung&lt;&gt;"",
IF(AND(N$10&gt;TODAY(),$W$7&gt;0,N52&lt;=0),0,
IF(AND(N$10&gt;TODAY(),$W$7&lt;=0,N53&lt;=0),0,
IF(N85&lt;=0,1,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f>
        <v>1</v>
      </c>
      <c r="O66" s="354">
        <f ca="1">IF(EB.Anwendung&lt;&gt;"",
IF(AND(O$10&gt;TODAY(),$W$7&gt;0,O52&lt;=0),0,
IF(AND(O$10&gt;TODAY(),$W$7&lt;=0,O53&lt;=0),0,
IF(O85&lt;=0,1,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f>
        <v>0</v>
      </c>
      <c r="P66" s="354">
        <f ca="1">IF(EB.Anwendung&lt;&gt;"",
IF(AND(P$10&gt;TODAY(),$W$7&gt;0,P52&lt;=0),0,
IF(AND(P$10&gt;TODAY(),$W$7&lt;=0,P53&lt;=0),0,
IF(P85&lt;=0,1,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f>
        <v>0</v>
      </c>
      <c r="Q66" s="354">
        <f ca="1">IF(EB.Anwendung&lt;&gt;"",
IF(AND(Q$10&gt;TODAY(),$W$7&gt;0,Q52&lt;=0),0,
IF(AND(Q$10&gt;TODAY(),$W$7&lt;=0,Q53&lt;=0),0,
IF(Q85&lt;=0,1,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f>
        <v>1</v>
      </c>
      <c r="R66" s="354">
        <f ca="1">IF(EB.Anwendung&lt;&gt;"",
IF(AND(R$10&gt;TODAY(),$W$7&gt;0,R52&lt;=0),0,
IF(AND(R$10&gt;TODAY(),$W$7&lt;=0,R53&lt;=0),0,
IF(R85&lt;=0,1,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f>
        <v>1</v>
      </c>
      <c r="S66" s="431">
        <f ca="1">IF(EB.Anwendung&lt;&gt;"",
IF(AND(S$10&gt;TODAY(),$W$7&gt;0,S52&lt;=0),0,
IF(AND(S$10&gt;TODAY(),$W$7&lt;=0,S53&lt;=0),0,
IF(S85&lt;=0,1,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f>
        <v>1</v>
      </c>
      <c r="T66" s="354">
        <f ca="1">IF(EB.Anwendung&lt;&gt;"",
IF(AND(T$10&gt;TODAY(),$W$7&gt;0,T52&lt;=0),0,
IF(AND(T$10&gt;TODAY(),$W$7&lt;=0,T53&lt;=0),0,
IF(T85&lt;=0,1,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f>
        <v>1</v>
      </c>
      <c r="U66" s="354">
        <f ca="1">IF(EB.Anwendung&lt;&gt;"",
IF(AND(U$10&gt;TODAY(),$W$7&gt;0,U52&lt;=0),0,
IF(AND(U$10&gt;TODAY(),$W$7&lt;=0,U53&lt;=0),0,
IF(U85&lt;=0,1,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f>
        <v>1</v>
      </c>
      <c r="V66" s="354">
        <f ca="1">IF(EB.Anwendung&lt;&gt;"",
IF(AND(V$10&gt;TODAY(),$W$7&gt;0,V52&lt;=0),0,
IF(AND(V$10&gt;TODAY(),$W$7&lt;=0,V53&lt;=0),0,
IF(V85&lt;=0,1,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f>
        <v>0</v>
      </c>
      <c r="W66" s="354">
        <f ca="1">IF(EB.Anwendung&lt;&gt;"",
IF(AND(W$10&gt;TODAY(),$W$7&gt;0,W52&lt;=0),0,
IF(AND(W$10&gt;TODAY(),$W$7&lt;=0,W53&lt;=0),0,
IF(W85&lt;=0,1,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f>
        <v>0</v>
      </c>
      <c r="X66" s="432">
        <f ca="1">IF(EB.Anwendung&lt;&gt;"",
IF(AND(X$10&gt;TODAY(),$W$7&gt;0,X52&lt;=0),0,
IF(AND(X$10&gt;TODAY(),$W$7&lt;=0,X53&lt;=0),0,
IF(X85&lt;=0,1,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f>
        <v>1</v>
      </c>
      <c r="Y66" s="354">
        <f ca="1">IF(EB.Anwendung&lt;&gt;"",
IF(AND(Y$10&gt;TODAY(),$W$7&gt;0,Y52&lt;=0),0,
IF(AND(Y$10&gt;TODAY(),$W$7&lt;=0,Y53&lt;=0),0,
IF(Y85&lt;=0,1,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f>
        <v>1</v>
      </c>
      <c r="Z66" s="354">
        <f ca="1">IF(EB.Anwendung&lt;&gt;"",
IF(AND(Z$10&gt;TODAY(),$W$7&gt;0,Z52&lt;=0),0,
IF(AND(Z$10&gt;TODAY(),$W$7&lt;=0,Z53&lt;=0),0,
IF(Z85&lt;=0,1,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f>
        <v>1</v>
      </c>
      <c r="AA66" s="354">
        <f ca="1">IF(EB.Anwendung&lt;&gt;"",
IF(AND(AA$10&gt;TODAY(),$W$7&gt;0,AA52&lt;=0),0,
IF(AND(AA$10&gt;TODAY(),$W$7&lt;=0,AA53&lt;=0),0,
IF(AA85&lt;=0,1,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f>
        <v>1</v>
      </c>
      <c r="AB66" s="354">
        <f ca="1">IF(EB.Anwendung&lt;&gt;"",
IF(AND(AB$10&gt;TODAY(),$W$7&gt;0,AB52&lt;=0),0,
IF(AND(AB$10&gt;TODAY(),$W$7&lt;=0,AB53&lt;=0),0,
IF(AB85&lt;=0,1,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f>
        <v>1</v>
      </c>
      <c r="AC66" s="354">
        <f ca="1">IF(EB.Anwendung&lt;&gt;"",
IF(AND(AC$10&gt;TODAY(),$W$7&gt;0,AC52&lt;=0),0,
IF(AND(AC$10&gt;TODAY(),$W$7&lt;=0,AC53&lt;=0),0,
IF(AC85&lt;=0,1,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f>
        <v>0</v>
      </c>
      <c r="AD66" s="354">
        <f ca="1">IF(EB.Anwendung&lt;&gt;"",
IF(AND(AD$10&gt;TODAY(),$W$7&gt;0,AD52&lt;=0),0,
IF(AND(AD$10&gt;TODAY(),$W$7&lt;=0,AD53&lt;=0),0,
IF(AD85&lt;=0,1,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f>
        <v>0</v>
      </c>
      <c r="AE66" s="354">
        <f ca="1">IF(EB.Anwendung&lt;&gt;"",
IF(AND(AE$10&gt;TODAY(),$W$7&gt;0,AE52&lt;=0),0,
IF(AND(AE$10&gt;TODAY(),$W$7&lt;=0,AE53&lt;=0),0,
IF(AE85&lt;=0,1,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f>
        <v>1</v>
      </c>
      <c r="AF66" s="212"/>
      <c r="AG66" s="188"/>
      <c r="AH66" s="213"/>
      <c r="AI66" s="214"/>
      <c r="AJ66" s="209"/>
      <c r="AK66" s="209"/>
      <c r="AL66" s="209"/>
      <c r="AM66" s="208"/>
      <c r="AN66" s="209"/>
      <c r="AO66" s="209"/>
      <c r="AP66" s="119"/>
    </row>
    <row r="67" spans="1:42" s="38" customFormat="1" ht="15" customHeight="1" outlineLevel="1" x14ac:dyDescent="0.2">
      <c r="A67" s="212" t="s">
        <v>79</v>
      </c>
      <c r="B67" s="27"/>
      <c r="C67" s="27"/>
      <c r="D67" s="27"/>
      <c r="E67" s="27"/>
      <c r="F67" s="27"/>
      <c r="G67" s="27"/>
      <c r="H67" s="27"/>
      <c r="I67" s="27"/>
      <c r="J67" s="27"/>
      <c r="K67" s="27"/>
      <c r="L67" s="27"/>
      <c r="M67" s="27"/>
      <c r="N67" s="27"/>
      <c r="O67" s="27"/>
      <c r="P67" s="27"/>
      <c r="Q67" s="27"/>
      <c r="R67" s="27"/>
      <c r="S67" s="27"/>
      <c r="T67" s="27"/>
      <c r="U67" s="27"/>
      <c r="V67" s="27"/>
      <c r="W67" s="27"/>
      <c r="X67" s="27"/>
      <c r="Y67" s="27"/>
      <c r="Z67" s="39"/>
      <c r="AA67" s="27"/>
      <c r="AB67" s="27"/>
      <c r="AC67" s="27"/>
      <c r="AD67" s="27"/>
      <c r="AE67" s="27"/>
      <c r="AF67" s="205" t="str">
        <f ca="1">A67 &amp; IFERROR(IF(SUMPRODUCT((B66:AE66=0)*(B67:AE67&gt;0))&gt;0," (!)",""),"")</f>
        <v>Compensation working hours</v>
      </c>
      <c r="AG67" s="218"/>
      <c r="AH67" s="238">
        <f>SUM(B67:AE67)</f>
        <v>0</v>
      </c>
      <c r="AI67" s="261"/>
      <c r="AJ67" s="245">
        <f ca="1">OFFSET(EB.MKAStd.Knoten,MONTH(Monat.Tag1),0,1,1)</f>
        <v>0.4375</v>
      </c>
      <c r="AK67" s="272">
        <f ca="1">IF(EB.Anwendung&lt;&gt;"",IF(MONTH(Monat.Tag1)=1,0,IF(MONTH(Monat.Tag1)=2,January!Monat.KomUeVM,IF(MONTH(Monat.Tag1)=3,February!Monat.KomUeVM,IF(MONTH(Monat.Tag1)=4,March!Monat.KomUeVM,IF(MONTH(Monat.Tag1)=5,April!Monat.KomUeVM,IF(MONTH(Monat.Tag1)=6,May!Monat.KomUeVM,IF(MONTH(Monat.Tag1)=7,June!Monat.KomUeVM,IF(MONTH(Monat.Tag1)=8,July!Monat.KomUeVM,IF(MONTH(Monat.Tag1)=9,August!Monat.KomUeVM,IF(MONTH(Monat.Tag1)=10,September!Monat.KomUeVM,IF(MONTH(Monat.Tag1)=11,October!Monat.KomUeVM,IF(MONTH(Monat.Tag1)=12,November!Monat.KomUeVM,"")))))))))))),"")</f>
        <v>4.375</v>
      </c>
      <c r="AL67" s="209"/>
      <c r="AM67" s="246">
        <f ca="1">AJ67+AK67-Monat.KomAZ.Total</f>
        <v>4.8125</v>
      </c>
      <c r="AN67" s="246">
        <f ca="1">Jahresabrechnung!P12-SUM(OFFSET(Jahresabrechnung!P15,0,0,MONTH(Monat.Tag1),1))</f>
        <v>5.25</v>
      </c>
      <c r="AO67" s="246">
        <f ca="1">Jahresabrechnung!P28</f>
        <v>5.25</v>
      </c>
      <c r="AP67" s="119"/>
    </row>
    <row r="68" spans="1:42" s="38" customFormat="1" ht="11.25" customHeight="1" x14ac:dyDescent="0.2">
      <c r="A68" s="220"/>
      <c r="B68" s="434">
        <f ca="1">IF(EB.Anwendung&lt;&gt;"",
IF(B67&gt;0,0,
IF(SUM(B23,B45)&gt;0,1,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
)),"")</f>
        <v>1</v>
      </c>
      <c r="C68" s="434">
        <f ca="1">IF(EB.Anwendung&lt;&gt;"",
IF(C67&gt;0,0,
IF(SUM(C23,C45)&gt;0,1,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
)),"")</f>
        <v>1</v>
      </c>
      <c r="D68" s="434">
        <f ca="1">IF(EB.Anwendung&lt;&gt;"",
IF(D67&gt;0,0,
IF(SUM(D23,D45)&gt;0,1,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
)),"")</f>
        <v>1</v>
      </c>
      <c r="E68" s="434">
        <f ca="1">IF(EB.Anwendung&lt;&gt;"",
IF(E67&gt;0,0,
IF(SUM(E23,E45)&gt;0,1,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
)),"")</f>
        <v>1</v>
      </c>
      <c r="F68" s="434">
        <f ca="1">IF(EB.Anwendung&lt;&gt;"",
IF(F67&gt;0,0,
IF(SUM(F23,F45)&gt;0,1,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
)),"")</f>
        <v>1</v>
      </c>
      <c r="G68" s="434">
        <f ca="1">IF(EB.Anwendung&lt;&gt;"",
IF(G67&gt;0,0,
IF(SUM(G23,G45)&gt;0,1,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
)),"")</f>
        <v>1</v>
      </c>
      <c r="H68" s="434">
        <f ca="1">IF(EB.Anwendung&lt;&gt;"",
IF(H67&gt;0,0,
IF(SUM(H23,H45)&gt;0,1,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
)),"")</f>
        <v>1</v>
      </c>
      <c r="I68" s="434">
        <f ca="1">IF(EB.Anwendung&lt;&gt;"",
IF(I67&gt;0,0,
IF(SUM(I23,I45)&gt;0,1,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
)),"")</f>
        <v>1</v>
      </c>
      <c r="J68" s="434">
        <f ca="1">IF(EB.Anwendung&lt;&gt;"",
IF(J67&gt;0,0,
IF(SUM(J23,J45)&gt;0,1,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
)),"")</f>
        <v>1</v>
      </c>
      <c r="K68" s="434">
        <f ca="1">IF(EB.Anwendung&lt;&gt;"",
IF(K67&gt;0,0,
IF(SUM(K23,K45)&gt;0,1,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
)),"")</f>
        <v>1</v>
      </c>
      <c r="L68" s="434">
        <f ca="1">IF(EB.Anwendung&lt;&gt;"",
IF(L67&gt;0,0,
IF(SUM(L23,L45)&gt;0,1,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
)),"")</f>
        <v>1</v>
      </c>
      <c r="M68" s="434">
        <f ca="1">IF(EB.Anwendung&lt;&gt;"",
IF(M67&gt;0,0,
IF(SUM(M23,M45)&gt;0,1,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
)),"")</f>
        <v>1</v>
      </c>
      <c r="N68" s="434">
        <f ca="1">IF(EB.Anwendung&lt;&gt;"",
IF(N67&gt;0,0,
IF(SUM(N23,N45)&gt;0,1,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
)),"")</f>
        <v>1</v>
      </c>
      <c r="O68" s="434">
        <f ca="1">IF(EB.Anwendung&lt;&gt;"",
IF(O67&gt;0,0,
IF(SUM(O23,O45)&gt;0,1,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
)),"")</f>
        <v>1</v>
      </c>
      <c r="P68" s="434">
        <f ca="1">IF(EB.Anwendung&lt;&gt;"",
IF(P67&gt;0,0,
IF(SUM(P23,P45)&gt;0,1,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
)),"")</f>
        <v>1</v>
      </c>
      <c r="Q68" s="434">
        <f ca="1">IF(EB.Anwendung&lt;&gt;"",
IF(Q67&gt;0,0,
IF(SUM(Q23,Q45)&gt;0,1,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
)),"")</f>
        <v>1</v>
      </c>
      <c r="R68" s="434">
        <f ca="1">IF(EB.Anwendung&lt;&gt;"",
IF(R67&gt;0,0,
IF(SUM(R23,R45)&gt;0,1,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
)),"")</f>
        <v>1</v>
      </c>
      <c r="S68" s="434">
        <f ca="1">IF(EB.Anwendung&lt;&gt;"",
IF(S67&gt;0,0,
IF(SUM(S23,S45)&gt;0,1,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
)),"")</f>
        <v>1</v>
      </c>
      <c r="T68" s="434">
        <f ca="1">IF(EB.Anwendung&lt;&gt;"",
IF(T67&gt;0,0,
IF(SUM(T23,T45)&gt;0,1,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
)),"")</f>
        <v>1</v>
      </c>
      <c r="U68" s="434">
        <f ca="1">IF(EB.Anwendung&lt;&gt;"",
IF(U67&gt;0,0,
IF(SUM(U23,U45)&gt;0,1,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
)),"")</f>
        <v>1</v>
      </c>
      <c r="V68" s="434">
        <f ca="1">IF(EB.Anwendung&lt;&gt;"",
IF(V67&gt;0,0,
IF(SUM(V23,V45)&gt;0,1,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
)),"")</f>
        <v>1</v>
      </c>
      <c r="W68" s="434">
        <f ca="1">IF(EB.Anwendung&lt;&gt;"",
IF(W67&gt;0,0,
IF(SUM(W23,W45)&gt;0,1,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
)),"")</f>
        <v>1</v>
      </c>
      <c r="X68" s="434">
        <f ca="1">IF(EB.Anwendung&lt;&gt;"",
IF(X67&gt;0,0,
IF(SUM(X23,X45)&gt;0,1,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
)),"")</f>
        <v>1</v>
      </c>
      <c r="Y68" s="434">
        <f ca="1">IF(EB.Anwendung&lt;&gt;"",
IF(Y67&gt;0,0,
IF(SUM(Y23,Y45)&gt;0,1,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
)),"")</f>
        <v>1</v>
      </c>
      <c r="Z68" s="434">
        <f ca="1">IF(EB.Anwendung&lt;&gt;"",
IF(Z67&gt;0,0,
IF(SUM(Z23,Z45)&gt;0,1,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
)),"")</f>
        <v>1</v>
      </c>
      <c r="AA68" s="434">
        <f ca="1">IF(EB.Anwendung&lt;&gt;"",
IF(AA67&gt;0,0,
IF(SUM(AA23,AA45)&gt;0,1,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
)),"")</f>
        <v>1</v>
      </c>
      <c r="AB68" s="434">
        <f ca="1">IF(EB.Anwendung&lt;&gt;"",
IF(AB67&gt;0,0,
IF(SUM(AB23,AB45)&gt;0,1,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
)),"")</f>
        <v>1</v>
      </c>
      <c r="AC68" s="434">
        <f ca="1">IF(EB.Anwendung&lt;&gt;"",
IF(AC67&gt;0,0,
IF(SUM(AC23,AC45)&gt;0,1,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
)),"")</f>
        <v>1</v>
      </c>
      <c r="AD68" s="434">
        <f ca="1">IF(EB.Anwendung&lt;&gt;"",
IF(AD67&gt;0,0,
IF(SUM(AD23,AD45)&gt;0,1,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
)),"")</f>
        <v>1</v>
      </c>
      <c r="AE68" s="434">
        <f ca="1">IF(EB.Anwendung&lt;&gt;"",
IF(AE67&gt;0,0,
IF(SUM(AE23,AE45)&gt;0,1,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
)),"")</f>
        <v>1</v>
      </c>
      <c r="AF68" s="205"/>
      <c r="AG68" s="188"/>
      <c r="AH68" s="213"/>
      <c r="AI68" s="214"/>
      <c r="AJ68" s="209"/>
      <c r="AK68" s="209"/>
      <c r="AL68" s="209"/>
      <c r="AM68" s="436">
        <f ca="1">IF(OFFSET(A68,0,DAY(EOMONTH(Monat.Tag1,0)))=0,0,1)</f>
        <v>1</v>
      </c>
      <c r="AN68" s="209"/>
      <c r="AO68" s="209"/>
      <c r="AP68" s="119"/>
    </row>
    <row r="69" spans="1:42" s="38" customFormat="1" ht="15" hidden="1" customHeight="1" x14ac:dyDescent="0.2">
      <c r="A69" s="212" t="s">
        <v>220</v>
      </c>
      <c r="B69" s="273">
        <f t="shared" ref="B69:AE69" ca="1" si="19">IF(AND(T.50_Vetsuisse,B72=INDEX(T.JaNein.Bereich,1,1),B73&gt;0,MOD(IFERROR(MATCH(1,B13:B22,0),1),2)=0),1,
IF(AND(T.ServiceCenterIrchel,B72=INDEX(T.JaNein.Bereich,1,1),B77&gt;0),1,
IF(AND(T.50_Vetsuisse=FALSE,T.ServiceCenterIrchel=FALSE,B77&gt;0),1,0)))</f>
        <v>0</v>
      </c>
      <c r="C69" s="273">
        <f t="shared" ca="1" si="19"/>
        <v>0</v>
      </c>
      <c r="D69" s="273">
        <f t="shared" ca="1" si="19"/>
        <v>0</v>
      </c>
      <c r="E69" s="273">
        <f t="shared" ca="1" si="19"/>
        <v>0</v>
      </c>
      <c r="F69" s="273">
        <f t="shared" ca="1" si="19"/>
        <v>0</v>
      </c>
      <c r="G69" s="273">
        <f t="shared" ca="1" si="19"/>
        <v>0</v>
      </c>
      <c r="H69" s="273">
        <f t="shared" ca="1" si="19"/>
        <v>0</v>
      </c>
      <c r="I69" s="273">
        <f t="shared" ca="1" si="19"/>
        <v>0</v>
      </c>
      <c r="J69" s="273">
        <f t="shared" ca="1" si="19"/>
        <v>0</v>
      </c>
      <c r="K69" s="273">
        <f t="shared" ca="1" si="19"/>
        <v>0</v>
      </c>
      <c r="L69" s="273">
        <f t="shared" ca="1" si="19"/>
        <v>0</v>
      </c>
      <c r="M69" s="273">
        <f t="shared" ca="1" si="19"/>
        <v>0</v>
      </c>
      <c r="N69" s="273">
        <f t="shared" ca="1" si="19"/>
        <v>0</v>
      </c>
      <c r="O69" s="273">
        <f t="shared" ca="1" si="19"/>
        <v>0</v>
      </c>
      <c r="P69" s="273">
        <f t="shared" ca="1" si="19"/>
        <v>0</v>
      </c>
      <c r="Q69" s="273">
        <f t="shared" ca="1" si="19"/>
        <v>0</v>
      </c>
      <c r="R69" s="273">
        <f t="shared" ca="1" si="19"/>
        <v>0</v>
      </c>
      <c r="S69" s="273">
        <f t="shared" ca="1" si="19"/>
        <v>0</v>
      </c>
      <c r="T69" s="273">
        <f t="shared" ca="1" si="19"/>
        <v>0</v>
      </c>
      <c r="U69" s="273">
        <f t="shared" ca="1" si="19"/>
        <v>0</v>
      </c>
      <c r="V69" s="273">
        <f t="shared" ca="1" si="19"/>
        <v>0</v>
      </c>
      <c r="W69" s="273">
        <f t="shared" ca="1" si="19"/>
        <v>0</v>
      </c>
      <c r="X69" s="273">
        <f t="shared" ca="1" si="19"/>
        <v>0</v>
      </c>
      <c r="Y69" s="273">
        <f t="shared" ca="1" si="19"/>
        <v>0</v>
      </c>
      <c r="Z69" s="273">
        <f t="shared" ca="1" si="19"/>
        <v>0</v>
      </c>
      <c r="AA69" s="273">
        <f t="shared" ca="1" si="19"/>
        <v>0</v>
      </c>
      <c r="AB69" s="273">
        <f t="shared" ca="1" si="19"/>
        <v>0</v>
      </c>
      <c r="AC69" s="273">
        <f t="shared" ca="1" si="19"/>
        <v>0</v>
      </c>
      <c r="AD69" s="273">
        <f t="shared" ca="1" si="19"/>
        <v>0</v>
      </c>
      <c r="AE69" s="273">
        <f t="shared" ca="1" si="19"/>
        <v>0</v>
      </c>
      <c r="AF69" s="205" t="str">
        <f>A69</f>
        <v>Counter night shift</v>
      </c>
      <c r="AG69" s="274"/>
      <c r="AH69" s="275">
        <f ca="1">SUM(B69:AE69)</f>
        <v>0</v>
      </c>
      <c r="AI69" s="261"/>
      <c r="AJ69" s="224"/>
      <c r="AK69" s="276">
        <f ca="1">IF(EB.Anwendung&lt;&gt;"",IF(MONTH(Monat.Tag1)=1,0,IF(MONTH(Monat.Tag1)=2,January!Monat.ZählerNDUe,IF(MONTH(Monat.Tag1)=3,February!Monat.ZählerNDUe,IF(MONTH(Monat.Tag1)=4,March!Monat.ZählerNDUe,IF(MONTH(Monat.Tag1)=5,April!Monat.ZählerNDUe,IF(MONTH(Monat.Tag1)=6,May!Monat.ZählerNDUe,IF(MONTH(Monat.Tag1)=7,June!Monat.ZählerNDUe,IF(MONTH(Monat.Tag1)=8,July!Monat.ZählerNDUe,IF(MONTH(Monat.Tag1)=9,August!Monat.ZählerNDUe,IF(MONTH(Monat.Tag1)=10,September!Monat.ZählerNDUe,IF(MONTH(Monat.Tag1)=11,October!Monat.ZählerNDUe,IF(MONTH(Monat.Tag1)=12,November!Monat.ZählerNDUe,"")))))))))))),"")</f>
        <v>0</v>
      </c>
      <c r="AL69" s="209"/>
      <c r="AM69" s="277">
        <f ca="1">AK69+AH69</f>
        <v>0</v>
      </c>
      <c r="AN69" s="208"/>
      <c r="AO69" s="208"/>
      <c r="AP69" s="119"/>
    </row>
    <row r="70" spans="1:42" s="38" customFormat="1" ht="15" hidden="1" customHeight="1" x14ac:dyDescent="0.2">
      <c r="A70" s="212" t="s">
        <v>221</v>
      </c>
      <c r="B70" s="273">
        <f t="shared" ref="B70:AE70" ca="1" si="20">IF(DAY(B$10)=1,$AK$69,A70)+B69</f>
        <v>0</v>
      </c>
      <c r="C70" s="273">
        <f t="shared" ca="1" si="20"/>
        <v>0</v>
      </c>
      <c r="D70" s="273">
        <f t="shared" ca="1" si="20"/>
        <v>0</v>
      </c>
      <c r="E70" s="273">
        <f t="shared" ca="1" si="20"/>
        <v>0</v>
      </c>
      <c r="F70" s="273">
        <f t="shared" ca="1" si="20"/>
        <v>0</v>
      </c>
      <c r="G70" s="273">
        <f t="shared" ca="1" si="20"/>
        <v>0</v>
      </c>
      <c r="H70" s="273">
        <f t="shared" ca="1" si="20"/>
        <v>0</v>
      </c>
      <c r="I70" s="273">
        <f t="shared" ca="1" si="20"/>
        <v>0</v>
      </c>
      <c r="J70" s="273">
        <f t="shared" ca="1" si="20"/>
        <v>0</v>
      </c>
      <c r="K70" s="273">
        <f t="shared" ca="1" si="20"/>
        <v>0</v>
      </c>
      <c r="L70" s="273">
        <f t="shared" ca="1" si="20"/>
        <v>0</v>
      </c>
      <c r="M70" s="273">
        <f t="shared" ca="1" si="20"/>
        <v>0</v>
      </c>
      <c r="N70" s="273">
        <f t="shared" ca="1" si="20"/>
        <v>0</v>
      </c>
      <c r="O70" s="273">
        <f t="shared" ca="1" si="20"/>
        <v>0</v>
      </c>
      <c r="P70" s="273">
        <f t="shared" ca="1" si="20"/>
        <v>0</v>
      </c>
      <c r="Q70" s="273">
        <f t="shared" ca="1" si="20"/>
        <v>0</v>
      </c>
      <c r="R70" s="273">
        <f t="shared" ca="1" si="20"/>
        <v>0</v>
      </c>
      <c r="S70" s="273">
        <f t="shared" ca="1" si="20"/>
        <v>0</v>
      </c>
      <c r="T70" s="273">
        <f t="shared" ca="1" si="20"/>
        <v>0</v>
      </c>
      <c r="U70" s="273">
        <f t="shared" ca="1" si="20"/>
        <v>0</v>
      </c>
      <c r="V70" s="273">
        <f t="shared" ca="1" si="20"/>
        <v>0</v>
      </c>
      <c r="W70" s="273">
        <f t="shared" ca="1" si="20"/>
        <v>0</v>
      </c>
      <c r="X70" s="273">
        <f t="shared" ca="1" si="20"/>
        <v>0</v>
      </c>
      <c r="Y70" s="273">
        <f t="shared" ca="1" si="20"/>
        <v>0</v>
      </c>
      <c r="Z70" s="273">
        <f t="shared" ca="1" si="20"/>
        <v>0</v>
      </c>
      <c r="AA70" s="273">
        <f t="shared" ca="1" si="20"/>
        <v>0</v>
      </c>
      <c r="AB70" s="273">
        <f t="shared" ca="1" si="20"/>
        <v>0</v>
      </c>
      <c r="AC70" s="273">
        <f t="shared" ca="1" si="20"/>
        <v>0</v>
      </c>
      <c r="AD70" s="273">
        <f t="shared" ca="1" si="20"/>
        <v>0</v>
      </c>
      <c r="AE70" s="273">
        <f t="shared" ca="1" si="20"/>
        <v>0</v>
      </c>
      <c r="AF70" s="205" t="str">
        <f>A70</f>
        <v>Balance counter night shift</v>
      </c>
      <c r="AG70" s="228"/>
      <c r="AH70" s="224"/>
      <c r="AI70" s="278"/>
      <c r="AJ70" s="262"/>
      <c r="AK70" s="262"/>
      <c r="AL70" s="209"/>
      <c r="AM70" s="279"/>
      <c r="AN70" s="208"/>
      <c r="AO70" s="208"/>
      <c r="AP70" s="119"/>
    </row>
    <row r="71" spans="1:42" s="38" customFormat="1" ht="15" hidden="1" customHeight="1" outlineLevel="1" x14ac:dyDescent="0.2">
      <c r="A71" s="212" t="s">
        <v>222</v>
      </c>
      <c r="B71" s="40"/>
      <c r="C71" s="40"/>
      <c r="D71" s="40"/>
      <c r="E71" s="27"/>
      <c r="F71" s="40"/>
      <c r="G71" s="40"/>
      <c r="H71" s="40"/>
      <c r="I71" s="40"/>
      <c r="J71" s="27"/>
      <c r="K71" s="40"/>
      <c r="L71" s="27"/>
      <c r="M71" s="40"/>
      <c r="N71" s="40"/>
      <c r="O71" s="40"/>
      <c r="P71" s="40"/>
      <c r="Q71" s="27"/>
      <c r="R71" s="40"/>
      <c r="S71" s="27"/>
      <c r="T71" s="27"/>
      <c r="U71" s="40"/>
      <c r="V71" s="40"/>
      <c r="W71" s="40"/>
      <c r="X71" s="27"/>
      <c r="Y71" s="40"/>
      <c r="Z71" s="39"/>
      <c r="AA71" s="40"/>
      <c r="AB71" s="40"/>
      <c r="AC71" s="40"/>
      <c r="AD71" s="40"/>
      <c r="AE71" s="27"/>
      <c r="AF71" s="205" t="str">
        <f>A71</f>
        <v>Compensation TS night shift</v>
      </c>
      <c r="AG71" s="218"/>
      <c r="AH71" s="238">
        <f>SUM(B71:AE71)</f>
        <v>0</v>
      </c>
      <c r="AI71" s="261"/>
      <c r="AJ71" s="262"/>
      <c r="AK71" s="245">
        <f ca="1">IF(EB.Anwendung&lt;&gt;"",IF(MONTH(Monat.Tag1)=1,0,IF(MONTH(Monat.Tag1)=2,January!Monat.KompZZSNDUeVM,IF(MONTH(Monat.Tag1)=3,February!Monat.KompZZSNDUeVM,IF(MONTH(Monat.Tag1)=4,March!Monat.KompZZSNDUeVM,IF(MONTH(Monat.Tag1)=5,April!Monat.KompZZSNDUeVM,IF(MONTH(Monat.Tag1)=6,May!Monat.KompZZSNDUeVM,IF(MONTH(Monat.Tag1)=7,June!Monat.KompZZSNDUeVM,IF(MONTH(Monat.Tag1)=8,July!Monat.KompZZSNDUeVM,IF(MONTH(Monat.Tag1)=9,August!Monat.KompZZSNDUeVM,IF(MONTH(Monat.Tag1)=10,September!Monat.KompZZSNDUeVM,IF(MONTH(Monat.Tag1)=11,October!Monat.KompZZSNDUeVM,IF(MONTH(Monat.Tag1)=12,November!Monat.KompZZSNDUeVM,"")))))))))))),"")</f>
        <v>0</v>
      </c>
      <c r="AL71" s="209"/>
      <c r="AM71" s="246">
        <f ca="1">AH71+AK71</f>
        <v>0</v>
      </c>
      <c r="AN71" s="246">
        <f ca="1">SUM(OFFSET(Jahr.KompZZSND,-12,0,MONTH(Monat.Tag1),1))</f>
        <v>0</v>
      </c>
      <c r="AO71" s="246">
        <f ca="1">Jahr.KompZZSND</f>
        <v>0</v>
      </c>
      <c r="AP71" s="119"/>
    </row>
    <row r="72" spans="1:42" s="38" customFormat="1" ht="15" hidden="1" customHeight="1" outlineLevel="1" x14ac:dyDescent="0.2">
      <c r="A72" s="212" t="s">
        <v>223</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205" t="str">
        <f>A72</f>
        <v>Start pl. night shift Yes/No</v>
      </c>
      <c r="AG72" s="218"/>
      <c r="AH72" s="224"/>
      <c r="AI72" s="229">
        <f ca="1">IFERROR(SUMPRODUCT((B72:AE72=INDEX(T.JaNein.Bereich,1))*(B72:AE72&lt;&gt;"")),0)</f>
        <v>0</v>
      </c>
      <c r="AJ72" s="262"/>
      <c r="AK72" s="229">
        <f ca="1">AK69</f>
        <v>0</v>
      </c>
      <c r="AL72" s="209"/>
      <c r="AM72" s="277">
        <f ca="1">AM69</f>
        <v>0</v>
      </c>
      <c r="AN72" s="209"/>
      <c r="AO72" s="209"/>
      <c r="AP72" s="119"/>
    </row>
    <row r="73" spans="1:42" s="38" customFormat="1" ht="15" customHeight="1" outlineLevel="1" x14ac:dyDescent="0.2">
      <c r="A73" s="212" t="s">
        <v>88</v>
      </c>
      <c r="B73" s="280">
        <f t="shared" ref="B73:AE73" ca="1" si="21">IF(B$12=0,0,IF(OR(T.50_Vetsuisse,T.ServiceCenterIrchel),ROUND((B14-B13+MAX(0,T.Nachtab-MAX(T.Nachtbis,B14))-MAX(0,T.Nachtab-MAX(B13,T.Nachtbis))+(B13&gt;B14)*(1+T.Nachtbis-T.Nachtab)+B16-B15+MAX(0,T.Nachtab-MAX(T.Nachtbis,B16))-MAX(0,T.Nachtab-MAX(B15,T.Nachtbis))+(B15&gt;B16)*(1+T.Nachtbis-T.Nachtab)+B18-B17+MAX(0,T.Nachtab-MAX(T.Nachtbis,B18))-MAX(0,T.Nachtab-MAX(B17,T.Nachtbis))+(B17&gt;B18)*(1+T.Nachtbis-T.Nachtab)+B20-B19+MAX(0,T.Nachtab-MAX(T.Nachtbis,B20))-MAX(0,T.Nachtab-MAX(B19,T.Nachtbis))+(B19&gt;B20)*(1+T.Nachtbis-T.Nachtab)+B22-B21+MAX(0,T.Nachtab-MAX(T.Nachtbis,B22))-MAX(0,T.Nachtab-MAX(B21,T.Nachtbis))+(B21&gt;B22)*(1+T.Nachtbis-T.Nachtab))*1440,0)/1440,
IF(AND(WEEKDAY(B$10,2)&lt;6,B$11&lt;&gt;0),ROUND((B36-B35+MAX(0,T.Nachtab-MAX(T.Nachtbis,B36))-MAX(0,T.Nachtab-MAX(B35,T.Nachtbis))+(B35&gt;B36)*(1+T.Nachtbis-T.Nachtab)+B38-B37+MAX(0,T.Nachtab-MAX(T.Nachtbis,B38))-MAX(0,T.Nachtab-MAX(B37,T.Nachtbis))+(B37&gt;B38)*(1+T.Nachtbis-T.Nachtab)+B40-B39+MAX(0,T.Nachtab-MAX(T.Nachtbis,B40))-MAX(0,T.Nachtab-MAX(B39,T.Nachtbis))+(B39&gt;B40)*(1+T.Nachtbis-T.Nachtab)+B42-B41+MAX(0,T.Nachtab-MAX(T.Nachtbis,B42))-MAX(0,T.Nachtab-MAX(B41,T.Nachtbis))+(B41&gt;B42)*(1+T.Nachtbis-T.Nachtab)+B44-B43+MAX(0,T.Nachtab-MAX(T.Nachtbis,B44))-MAX(0,T.Nachtab-MAX(B43,T.Nachtbis))+(B43&gt;B44)*(1+T.Nachtbis-T.Nachtab))*1440,0)/1440,0)))</f>
        <v>0</v>
      </c>
      <c r="C73" s="280">
        <f t="shared" ca="1" si="21"/>
        <v>0</v>
      </c>
      <c r="D73" s="280">
        <f t="shared" ca="1" si="21"/>
        <v>0</v>
      </c>
      <c r="E73" s="280">
        <f t="shared" ca="1" si="21"/>
        <v>0</v>
      </c>
      <c r="F73" s="280">
        <f t="shared" ca="1" si="21"/>
        <v>0</v>
      </c>
      <c r="G73" s="280">
        <f t="shared" ca="1" si="21"/>
        <v>0</v>
      </c>
      <c r="H73" s="280">
        <f t="shared" ca="1" si="21"/>
        <v>0</v>
      </c>
      <c r="I73" s="280">
        <f t="shared" ca="1" si="21"/>
        <v>0</v>
      </c>
      <c r="J73" s="280">
        <f t="shared" ca="1" si="21"/>
        <v>0</v>
      </c>
      <c r="K73" s="280">
        <f t="shared" ca="1" si="21"/>
        <v>0</v>
      </c>
      <c r="L73" s="280">
        <f t="shared" ca="1" si="21"/>
        <v>0</v>
      </c>
      <c r="M73" s="280">
        <f t="shared" ca="1" si="21"/>
        <v>0</v>
      </c>
      <c r="N73" s="280">
        <f t="shared" ca="1" si="21"/>
        <v>0</v>
      </c>
      <c r="O73" s="280">
        <f t="shared" ca="1" si="21"/>
        <v>0</v>
      </c>
      <c r="P73" s="280">
        <f t="shared" ca="1" si="21"/>
        <v>0</v>
      </c>
      <c r="Q73" s="280">
        <f t="shared" ca="1" si="21"/>
        <v>0</v>
      </c>
      <c r="R73" s="280">
        <f t="shared" ca="1" si="21"/>
        <v>0</v>
      </c>
      <c r="S73" s="280">
        <f t="shared" ca="1" si="21"/>
        <v>0</v>
      </c>
      <c r="T73" s="280">
        <f t="shared" ca="1" si="21"/>
        <v>0</v>
      </c>
      <c r="U73" s="280">
        <f t="shared" ca="1" si="21"/>
        <v>0</v>
      </c>
      <c r="V73" s="280">
        <f t="shared" ca="1" si="21"/>
        <v>0</v>
      </c>
      <c r="W73" s="280">
        <f t="shared" ca="1" si="21"/>
        <v>0</v>
      </c>
      <c r="X73" s="280">
        <f t="shared" ca="1" si="21"/>
        <v>0</v>
      </c>
      <c r="Y73" s="280">
        <f t="shared" ca="1" si="21"/>
        <v>0</v>
      </c>
      <c r="Z73" s="280">
        <f t="shared" ca="1" si="21"/>
        <v>0</v>
      </c>
      <c r="AA73" s="280">
        <f t="shared" ca="1" si="21"/>
        <v>0</v>
      </c>
      <c r="AB73" s="280">
        <f t="shared" ca="1" si="21"/>
        <v>0</v>
      </c>
      <c r="AC73" s="280">
        <f t="shared" ca="1" si="21"/>
        <v>0</v>
      </c>
      <c r="AD73" s="280">
        <f t="shared" ca="1" si="21"/>
        <v>0</v>
      </c>
      <c r="AE73" s="280">
        <f t="shared" ca="1" si="21"/>
        <v>0</v>
      </c>
      <c r="AF73" s="205" t="str">
        <f>A73</f>
        <v>Night shift</v>
      </c>
      <c r="AG73" s="228"/>
      <c r="AH73" s="238">
        <f ca="1">SUM(B73:AE73)</f>
        <v>0</v>
      </c>
      <c r="AI73" s="229">
        <f ca="1">IF(OR(T.50_Vetsuisse,T.ServiceCenterIrchel),AH69,
IFERROR(SUMPRODUCT((B77:AE77&gt;0)*(B77:AE77&lt;&gt;"")),0))</f>
        <v>0</v>
      </c>
      <c r="AJ73" s="224"/>
      <c r="AK73" s="245">
        <f ca="1">IF(EB.Anwendung&lt;&gt;"",IF(MONTH(Monat.Tag1)=1,0,IF(MONTH(Monat.Tag1)=2,January!Monat.NDUeVM,IF(MONTH(Monat.Tag1)=3,February!Monat.NDUeVM,IF(MONTH(Monat.Tag1)=4,March!Monat.NDUeVM,IF(MONTH(Monat.Tag1)=5,April!Monat.NDUeVM,IF(MONTH(Monat.Tag1)=6,May!Monat.NDUeVM,IF(MONTH(Monat.Tag1)=7,June!Monat.NDUeVM,IF(MONTH(Monat.Tag1)=8,July!Monat.NDUeVM,IF(MONTH(Monat.Tag1)=9,August!Monat.NDUeVM,IF(MONTH(Monat.Tag1)=10,September!Monat.NDUeVM,IF(MONTH(Monat.Tag1)=11,October!Monat.NDUeVM,IF(MONTH(Monat.Tag1)=12,November!Monat.NDUeVM,"")))))))))))),"")</f>
        <v>0</v>
      </c>
      <c r="AL73" s="209"/>
      <c r="AM73" s="246">
        <f ca="1">AH73+AK73</f>
        <v>0</v>
      </c>
      <c r="AN73" s="208"/>
      <c r="AO73" s="208"/>
      <c r="AP73" s="119"/>
    </row>
    <row r="74" spans="1:42" s="38" customFormat="1" ht="3.75" hidden="1" customHeight="1" x14ac:dyDescent="0.2">
      <c r="A74" s="220"/>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205"/>
      <c r="AG74" s="188"/>
      <c r="AH74" s="213"/>
      <c r="AI74" s="214"/>
      <c r="AJ74" s="209"/>
      <c r="AK74" s="209"/>
      <c r="AL74" s="209"/>
      <c r="AM74" s="208"/>
      <c r="AN74" s="209"/>
      <c r="AO74" s="209"/>
      <c r="AP74" s="119"/>
    </row>
    <row r="75" spans="1:42" s="38" customFormat="1" ht="16.5" hidden="1" customHeight="1" outlineLevel="1" x14ac:dyDescent="0.2">
      <c r="A75" s="215" t="s">
        <v>252</v>
      </c>
      <c r="B75" s="216">
        <f t="shared" ref="B75:AE75" ca="1" si="22">IF(B73&gt;0,ROUND((B73-
IF(B13&lt;T.Nachtbis,MIN(T.Nachtbis-B13,B14-B13)+IF(B15&lt;T.Nachtbis,MIN(T.Nachtbis-B15,B16-B15)+IF(B17&lt;T.Nachtbis,MIN(T.Nachtbis-B17,B18-B17)+IF(B19&lt;T.Nachtbis,MIN(T.Nachtbis-B19,B20-B19)+IF(B21&lt;T.Nachtbis,MIN(T.Nachtbis-B21,B22-B21),0),0),0),0),0))*1440,0)/1440,0)</f>
        <v>0</v>
      </c>
      <c r="C75" s="216">
        <f t="shared" ca="1" si="22"/>
        <v>0</v>
      </c>
      <c r="D75" s="216">
        <f t="shared" ca="1" si="22"/>
        <v>0</v>
      </c>
      <c r="E75" s="216">
        <f t="shared" ca="1" si="22"/>
        <v>0</v>
      </c>
      <c r="F75" s="216">
        <f t="shared" ca="1" si="22"/>
        <v>0</v>
      </c>
      <c r="G75" s="216">
        <f t="shared" ca="1" si="22"/>
        <v>0</v>
      </c>
      <c r="H75" s="216">
        <f t="shared" ca="1" si="22"/>
        <v>0</v>
      </c>
      <c r="I75" s="216">
        <f t="shared" ca="1" si="22"/>
        <v>0</v>
      </c>
      <c r="J75" s="216">
        <f t="shared" ca="1" si="22"/>
        <v>0</v>
      </c>
      <c r="K75" s="216">
        <f t="shared" ca="1" si="22"/>
        <v>0</v>
      </c>
      <c r="L75" s="216">
        <f t="shared" ca="1" si="22"/>
        <v>0</v>
      </c>
      <c r="M75" s="216">
        <f t="shared" ca="1" si="22"/>
        <v>0</v>
      </c>
      <c r="N75" s="216">
        <f t="shared" ca="1" si="22"/>
        <v>0</v>
      </c>
      <c r="O75" s="216">
        <f t="shared" ca="1" si="22"/>
        <v>0</v>
      </c>
      <c r="P75" s="216">
        <f t="shared" ca="1" si="22"/>
        <v>0</v>
      </c>
      <c r="Q75" s="216">
        <f t="shared" ca="1" si="22"/>
        <v>0</v>
      </c>
      <c r="R75" s="216">
        <f t="shared" ca="1" si="22"/>
        <v>0</v>
      </c>
      <c r="S75" s="216">
        <f t="shared" ca="1" si="22"/>
        <v>0</v>
      </c>
      <c r="T75" s="216">
        <f t="shared" ca="1" si="22"/>
        <v>0</v>
      </c>
      <c r="U75" s="216">
        <f t="shared" ca="1" si="22"/>
        <v>0</v>
      </c>
      <c r="V75" s="216">
        <f t="shared" ca="1" si="22"/>
        <v>0</v>
      </c>
      <c r="W75" s="216">
        <f t="shared" ca="1" si="22"/>
        <v>0</v>
      </c>
      <c r="X75" s="216">
        <f t="shared" ca="1" si="22"/>
        <v>0</v>
      </c>
      <c r="Y75" s="216">
        <f t="shared" ca="1" si="22"/>
        <v>0</v>
      </c>
      <c r="Z75" s="216">
        <f t="shared" ca="1" si="22"/>
        <v>0</v>
      </c>
      <c r="AA75" s="216">
        <f t="shared" ca="1" si="22"/>
        <v>0</v>
      </c>
      <c r="AB75" s="216">
        <f t="shared" ca="1" si="22"/>
        <v>0</v>
      </c>
      <c r="AC75" s="216">
        <f t="shared" ca="1" si="22"/>
        <v>0</v>
      </c>
      <c r="AD75" s="216">
        <f t="shared" ca="1" si="22"/>
        <v>0</v>
      </c>
      <c r="AE75" s="216">
        <f t="shared" ca="1" si="22"/>
        <v>0</v>
      </c>
      <c r="AF75" s="217" t="str">
        <f>A75</f>
        <v>Total NS hours today</v>
      </c>
      <c r="AG75" s="188"/>
      <c r="AH75" s="213"/>
      <c r="AI75" s="214"/>
      <c r="AJ75" s="209"/>
      <c r="AK75" s="209"/>
      <c r="AL75" s="209"/>
      <c r="AM75" s="208"/>
      <c r="AN75" s="209"/>
      <c r="AO75" s="209"/>
      <c r="AP75" s="119"/>
    </row>
    <row r="76" spans="1:42" s="38" customFormat="1" ht="16.5" hidden="1" customHeight="1" outlineLevel="1" x14ac:dyDescent="0.2">
      <c r="A76" s="215" t="s">
        <v>253</v>
      </c>
      <c r="B76" s="225">
        <f t="shared" ref="B76:AE76" ca="1" si="23">B73-B75</f>
        <v>0</v>
      </c>
      <c r="C76" s="225">
        <f t="shared" ca="1" si="23"/>
        <v>0</v>
      </c>
      <c r="D76" s="225">
        <f t="shared" ca="1" si="23"/>
        <v>0</v>
      </c>
      <c r="E76" s="225">
        <f t="shared" ca="1" si="23"/>
        <v>0</v>
      </c>
      <c r="F76" s="225">
        <f t="shared" ca="1" si="23"/>
        <v>0</v>
      </c>
      <c r="G76" s="225">
        <f t="shared" ca="1" si="23"/>
        <v>0</v>
      </c>
      <c r="H76" s="225">
        <f t="shared" ca="1" si="23"/>
        <v>0</v>
      </c>
      <c r="I76" s="225">
        <f t="shared" ca="1" si="23"/>
        <v>0</v>
      </c>
      <c r="J76" s="225">
        <f t="shared" ca="1" si="23"/>
        <v>0</v>
      </c>
      <c r="K76" s="225">
        <f t="shared" ca="1" si="23"/>
        <v>0</v>
      </c>
      <c r="L76" s="225">
        <f t="shared" ca="1" si="23"/>
        <v>0</v>
      </c>
      <c r="M76" s="225">
        <f t="shared" ca="1" si="23"/>
        <v>0</v>
      </c>
      <c r="N76" s="225">
        <f t="shared" ca="1" si="23"/>
        <v>0</v>
      </c>
      <c r="O76" s="225">
        <f t="shared" ca="1" si="23"/>
        <v>0</v>
      </c>
      <c r="P76" s="225">
        <f t="shared" ca="1" si="23"/>
        <v>0</v>
      </c>
      <c r="Q76" s="225">
        <f t="shared" ca="1" si="23"/>
        <v>0</v>
      </c>
      <c r="R76" s="225">
        <f t="shared" ca="1" si="23"/>
        <v>0</v>
      </c>
      <c r="S76" s="225">
        <f t="shared" ca="1" si="23"/>
        <v>0</v>
      </c>
      <c r="T76" s="225">
        <f t="shared" ca="1" si="23"/>
        <v>0</v>
      </c>
      <c r="U76" s="225">
        <f t="shared" ca="1" si="23"/>
        <v>0</v>
      </c>
      <c r="V76" s="225">
        <f t="shared" ca="1" si="23"/>
        <v>0</v>
      </c>
      <c r="W76" s="225">
        <f t="shared" ca="1" si="23"/>
        <v>0</v>
      </c>
      <c r="X76" s="225">
        <f t="shared" ca="1" si="23"/>
        <v>0</v>
      </c>
      <c r="Y76" s="225">
        <f t="shared" ca="1" si="23"/>
        <v>0</v>
      </c>
      <c r="Z76" s="225">
        <f t="shared" ca="1" si="23"/>
        <v>0</v>
      </c>
      <c r="AA76" s="225">
        <f t="shared" ca="1" si="23"/>
        <v>0</v>
      </c>
      <c r="AB76" s="225">
        <f t="shared" ca="1" si="23"/>
        <v>0</v>
      </c>
      <c r="AC76" s="225">
        <f t="shared" ca="1" si="23"/>
        <v>0</v>
      </c>
      <c r="AD76" s="225">
        <f t="shared" ca="1" si="23"/>
        <v>0</v>
      </c>
      <c r="AE76" s="225">
        <f t="shared" ca="1" si="23"/>
        <v>0</v>
      </c>
      <c r="AF76" s="217" t="str">
        <f>A76</f>
        <v>Total NS hours yesterday</v>
      </c>
      <c r="AG76" s="188"/>
      <c r="AH76" s="213"/>
      <c r="AI76" s="214"/>
      <c r="AJ76" s="209"/>
      <c r="AK76" s="209"/>
      <c r="AL76" s="230">
        <f ca="1">IF(EB.Anwendung&lt;&gt;"",IF(MONTH(Monat.Tag1)=12,0,IF(MONTH(Monat.Tag1)=1,February!Monat.NDgesternTag1,IF(MONTH(Monat.Tag1)=2,March!Monat.NDgesternTag1,IF(MONTH(Monat.Tag1)=3,April!Monat.NDgesternTag1,IF(MONTH(Monat.Tag1)=4,May!Monat.NDgesternTag1,IF(MONTH(Monat.Tag1)=5,June!Monat.NDgesternTag1,IF(MONTH(Monat.Tag1)=6,July!Monat.NDgesternTag1,IF(MONTH(Monat.Tag1)=7,August!Monat.NDgesternTag1,IF(MONTH(Monat.Tag1)=8,September!Monat.NDgesternTag1,IF(MONTH(Monat.Tag1)=9,October!Monat.NDgesternTag1,IF(MONTH(Monat.Tag1)=10,November!Monat.NDgesternTag1,IF(MONTH(Monat.Tag1)=11,December!Monat.NDgesternTag1,"")))))))))))),"")</f>
        <v>0</v>
      </c>
      <c r="AM76" s="208"/>
      <c r="AN76" s="209"/>
      <c r="AO76" s="209"/>
      <c r="AP76" s="119"/>
    </row>
    <row r="77" spans="1:42" s="38" customFormat="1" ht="16.5" hidden="1" customHeight="1" outlineLevel="1" x14ac:dyDescent="0.2">
      <c r="A77" s="215" t="s">
        <v>254</v>
      </c>
      <c r="B77" s="216">
        <f t="shared" ref="B77:AD77" ca="1" si="24">B75+IF(B$10=EOMONTH(B$10,0),$AL76,C76)</f>
        <v>0</v>
      </c>
      <c r="C77" s="216">
        <f t="shared" ca="1" si="24"/>
        <v>0</v>
      </c>
      <c r="D77" s="216">
        <f t="shared" ca="1" si="24"/>
        <v>0</v>
      </c>
      <c r="E77" s="216">
        <f t="shared" ca="1" si="24"/>
        <v>0</v>
      </c>
      <c r="F77" s="216">
        <f t="shared" ca="1" si="24"/>
        <v>0</v>
      </c>
      <c r="G77" s="216">
        <f t="shared" ca="1" si="24"/>
        <v>0</v>
      </c>
      <c r="H77" s="216">
        <f t="shared" ca="1" si="24"/>
        <v>0</v>
      </c>
      <c r="I77" s="216">
        <f t="shared" ca="1" si="24"/>
        <v>0</v>
      </c>
      <c r="J77" s="216">
        <f t="shared" ca="1" si="24"/>
        <v>0</v>
      </c>
      <c r="K77" s="216">
        <f t="shared" ca="1" si="24"/>
        <v>0</v>
      </c>
      <c r="L77" s="216">
        <f t="shared" ca="1" si="24"/>
        <v>0</v>
      </c>
      <c r="M77" s="216">
        <f t="shared" ca="1" si="24"/>
        <v>0</v>
      </c>
      <c r="N77" s="216">
        <f t="shared" ca="1" si="24"/>
        <v>0</v>
      </c>
      <c r="O77" s="216">
        <f t="shared" ca="1" si="24"/>
        <v>0</v>
      </c>
      <c r="P77" s="216">
        <f t="shared" ca="1" si="24"/>
        <v>0</v>
      </c>
      <c r="Q77" s="216">
        <f t="shared" ca="1" si="24"/>
        <v>0</v>
      </c>
      <c r="R77" s="216">
        <f t="shared" ca="1" si="24"/>
        <v>0</v>
      </c>
      <c r="S77" s="216">
        <f t="shared" ca="1" si="24"/>
        <v>0</v>
      </c>
      <c r="T77" s="216">
        <f t="shared" ca="1" si="24"/>
        <v>0</v>
      </c>
      <c r="U77" s="216">
        <f t="shared" ca="1" si="24"/>
        <v>0</v>
      </c>
      <c r="V77" s="216">
        <f t="shared" ca="1" si="24"/>
        <v>0</v>
      </c>
      <c r="W77" s="216">
        <f t="shared" ca="1" si="24"/>
        <v>0</v>
      </c>
      <c r="X77" s="216">
        <f t="shared" ca="1" si="24"/>
        <v>0</v>
      </c>
      <c r="Y77" s="216">
        <f t="shared" ca="1" si="24"/>
        <v>0</v>
      </c>
      <c r="Z77" s="216">
        <f t="shared" ca="1" si="24"/>
        <v>0</v>
      </c>
      <c r="AA77" s="216">
        <f t="shared" ca="1" si="24"/>
        <v>0</v>
      </c>
      <c r="AB77" s="216">
        <f t="shared" ca="1" si="24"/>
        <v>0</v>
      </c>
      <c r="AC77" s="216">
        <f t="shared" ca="1" si="24"/>
        <v>0</v>
      </c>
      <c r="AD77" s="216">
        <f t="shared" ca="1" si="24"/>
        <v>0</v>
      </c>
      <c r="AE77" s="216">
        <f ca="1">AE75+IF(AE$10=EOMONTH(AE$10,0),$AL76,#REF!)</f>
        <v>0</v>
      </c>
      <c r="AF77" s="217" t="str">
        <f>A77</f>
        <v>Total NS hours</v>
      </c>
      <c r="AG77" s="218"/>
      <c r="AH77" s="219">
        <f ca="1">SUM(B77:AE77)</f>
        <v>0</v>
      </c>
      <c r="AI77" s="214"/>
      <c r="AJ77" s="209"/>
      <c r="AK77" s="209"/>
      <c r="AL77" s="209"/>
      <c r="AM77" s="208"/>
      <c r="AN77" s="209"/>
      <c r="AO77" s="209"/>
      <c r="AP77" s="119"/>
    </row>
    <row r="78" spans="1:42" s="38" customFormat="1" ht="3.75" hidden="1" customHeight="1" collapsed="1" x14ac:dyDescent="0.2">
      <c r="A78" s="220"/>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05"/>
      <c r="AG78" s="233"/>
      <c r="AH78" s="222"/>
      <c r="AI78" s="214"/>
      <c r="AJ78" s="209"/>
      <c r="AK78" s="209"/>
      <c r="AL78" s="209"/>
      <c r="AM78" s="208"/>
      <c r="AN78" s="209"/>
      <c r="AO78" s="209"/>
      <c r="AP78" s="119"/>
    </row>
    <row r="79" spans="1:42" s="38" customFormat="1" ht="15" customHeight="1" outlineLevel="1" x14ac:dyDescent="0.2">
      <c r="A79" s="212" t="s">
        <v>200</v>
      </c>
      <c r="B79" s="280">
        <f t="shared" ref="B79:AE79" ca="1" si="25">IF(AND(T.50_Vetsuisse,B70&gt;24),ROUND(B73*T.50_VetsuisseZZSND*1440,0)/1440,
IF(AND(T.ServiceCenterIrchel,B69&gt;0,B77&gt;=ROUND(1/24*8*1440,0)/1440),ROUND(B77*T.ServiceCenterIrchelZZSND*1440,0)/1440,))</f>
        <v>0</v>
      </c>
      <c r="C79" s="280">
        <f t="shared" ca="1" si="25"/>
        <v>0</v>
      </c>
      <c r="D79" s="280">
        <f t="shared" ca="1" si="25"/>
        <v>0</v>
      </c>
      <c r="E79" s="280">
        <f t="shared" ca="1" si="25"/>
        <v>0</v>
      </c>
      <c r="F79" s="280">
        <f t="shared" ca="1" si="25"/>
        <v>0</v>
      </c>
      <c r="G79" s="280">
        <f t="shared" ca="1" si="25"/>
        <v>0</v>
      </c>
      <c r="H79" s="280">
        <f t="shared" ca="1" si="25"/>
        <v>0</v>
      </c>
      <c r="I79" s="280">
        <f t="shared" ca="1" si="25"/>
        <v>0</v>
      </c>
      <c r="J79" s="280">
        <f t="shared" ca="1" si="25"/>
        <v>0</v>
      </c>
      <c r="K79" s="280">
        <f t="shared" ca="1" si="25"/>
        <v>0</v>
      </c>
      <c r="L79" s="280">
        <f t="shared" ca="1" si="25"/>
        <v>0</v>
      </c>
      <c r="M79" s="280">
        <f t="shared" ca="1" si="25"/>
        <v>0</v>
      </c>
      <c r="N79" s="280">
        <f t="shared" ca="1" si="25"/>
        <v>0</v>
      </c>
      <c r="O79" s="280">
        <f t="shared" ca="1" si="25"/>
        <v>0</v>
      </c>
      <c r="P79" s="280">
        <f t="shared" ca="1" si="25"/>
        <v>0</v>
      </c>
      <c r="Q79" s="280">
        <f t="shared" ca="1" si="25"/>
        <v>0</v>
      </c>
      <c r="R79" s="280">
        <f t="shared" ca="1" si="25"/>
        <v>0</v>
      </c>
      <c r="S79" s="280">
        <f t="shared" ca="1" si="25"/>
        <v>0</v>
      </c>
      <c r="T79" s="280">
        <f t="shared" ca="1" si="25"/>
        <v>0</v>
      </c>
      <c r="U79" s="280">
        <f t="shared" ca="1" si="25"/>
        <v>0</v>
      </c>
      <c r="V79" s="280">
        <f t="shared" ca="1" si="25"/>
        <v>0</v>
      </c>
      <c r="W79" s="280">
        <f t="shared" ca="1" si="25"/>
        <v>0</v>
      </c>
      <c r="X79" s="280">
        <f t="shared" ca="1" si="25"/>
        <v>0</v>
      </c>
      <c r="Y79" s="280">
        <f t="shared" ca="1" si="25"/>
        <v>0</v>
      </c>
      <c r="Z79" s="280">
        <f t="shared" ca="1" si="25"/>
        <v>0</v>
      </c>
      <c r="AA79" s="280">
        <f t="shared" ca="1" si="25"/>
        <v>0</v>
      </c>
      <c r="AB79" s="280">
        <f t="shared" ca="1" si="25"/>
        <v>0</v>
      </c>
      <c r="AC79" s="280">
        <f t="shared" ca="1" si="25"/>
        <v>0</v>
      </c>
      <c r="AD79" s="280">
        <f t="shared" ca="1" si="25"/>
        <v>0</v>
      </c>
      <c r="AE79" s="280">
        <f t="shared" ca="1" si="25"/>
        <v>0</v>
      </c>
      <c r="AF79" s="205" t="str">
        <f>A79</f>
        <v>Time supplement night shift</v>
      </c>
      <c r="AG79" s="274"/>
      <c r="AH79" s="238">
        <f ca="1">SUM(B79:AE79)</f>
        <v>0</v>
      </c>
      <c r="AI79" s="261"/>
      <c r="AJ79" s="224"/>
      <c r="AK79" s="245">
        <f ca="1">IF(EB.Anwendung&lt;&gt;"",IF(MONTH(Monat.Tag1)=1,EB.ZZNd,IF(MONTH(Monat.Tag1)=2,January!Monat.ZZNdUe,IF(MONTH(Monat.Tag1)=3,February!Monat.ZZNdUe,IF(MONTH(Monat.Tag1)=4,March!Monat.ZZNdUe,IF(MONTH(Monat.Tag1)=5,April!Monat.ZZNdUe,IF(MONTH(Monat.Tag1)=6,May!Monat.ZZNdUe,IF(MONTH(Monat.Tag1)=7,June!Monat.ZZNdUe,IF(MONTH(Monat.Tag1)=8,July!Monat.ZZNdUe,IF(MONTH(Monat.Tag1)=9,August!Monat.ZZNdUe,IF(MONTH(Monat.Tag1)=10,September!Monat.ZZNdUe,IF(MONTH(Monat.Tag1)=11,October!Monat.ZZNdUe,IF(MONTH(Monat.Tag1)=12,November!Monat.ZZNdUe,"")))))))))))),"")</f>
        <v>0</v>
      </c>
      <c r="AL79" s="209"/>
      <c r="AM79" s="246">
        <f ca="1">AH79+AK79-AH71</f>
        <v>0</v>
      </c>
      <c r="AN79" s="246">
        <f ca="1">OFFSET(Jahr.ZZSNDSaldo,-13+MONTH(Monat.Tag1),0,1,1)</f>
        <v>0</v>
      </c>
      <c r="AO79" s="246">
        <f ca="1">Jahr.ZZSNDSaldo</f>
        <v>0</v>
      </c>
      <c r="AP79" s="119"/>
    </row>
    <row r="80" spans="1:42" s="38" customFormat="1" ht="15" customHeight="1" outlineLevel="1" x14ac:dyDescent="0.2">
      <c r="A80" s="212" t="s">
        <v>224</v>
      </c>
      <c r="B80" s="280" t="str">
        <f t="shared" ref="B80:AE80" si="26">IF(T.50_Vetsuisse,IF(OR(B$12=0,B$11=0,WEEKDAY(B$10,2)&gt;5),0,ROUND((MAX(0,T.Abendbis-MAX(B13,T.Abendab))-MAX(0,T.Abendbis-MAX(T.Abendab,B14))+(B13&gt;B14)*(1+T.Abendab-T.Abendbis)+MAX(0,T.Abendbis-MAX(B15,T.Abendab))-MAX(0,T.Abendbis-MAX(T.Abendab,B16))+(B15&gt;B16)*(1+T.Abendab-T.Abendbis)+MAX(0,T.Abendbis-MAX(B17,T.Abendab))-MAX(0,T.Abendbis-MAX(T.Abendab,B18))+(B17&gt;B18)*(1+T.Abendab-T.Abendbis)+MAX(0,T.Abendbis-MAX(B19,T.Abendab))-MAX(0,T.Abendbis-MAX(T.Abendab,B20))+(B19&gt;B20)*(1+T.Abendab-T.Abendbis)+MAX(0,T.Abendbis-MAX(B21,T.Abendab))-MAX(0,T.Abendbis-MAX(T.Abendab,B22))+(B21&gt;B22)*(1+T.Abendab-T.Abendbis))*1440,0)/1440),"")</f>
        <v/>
      </c>
      <c r="C80" s="280" t="str">
        <f t="shared" si="26"/>
        <v/>
      </c>
      <c r="D80" s="280" t="str">
        <f t="shared" si="26"/>
        <v/>
      </c>
      <c r="E80" s="280" t="str">
        <f t="shared" si="26"/>
        <v/>
      </c>
      <c r="F80" s="280" t="str">
        <f t="shared" si="26"/>
        <v/>
      </c>
      <c r="G80" s="280" t="str">
        <f t="shared" si="26"/>
        <v/>
      </c>
      <c r="H80" s="280" t="str">
        <f t="shared" si="26"/>
        <v/>
      </c>
      <c r="I80" s="280" t="str">
        <f t="shared" si="26"/>
        <v/>
      </c>
      <c r="J80" s="280" t="str">
        <f t="shared" si="26"/>
        <v/>
      </c>
      <c r="K80" s="280" t="str">
        <f t="shared" si="26"/>
        <v/>
      </c>
      <c r="L80" s="280" t="str">
        <f t="shared" si="26"/>
        <v/>
      </c>
      <c r="M80" s="280" t="str">
        <f t="shared" si="26"/>
        <v/>
      </c>
      <c r="N80" s="280" t="str">
        <f t="shared" si="26"/>
        <v/>
      </c>
      <c r="O80" s="280" t="str">
        <f t="shared" si="26"/>
        <v/>
      </c>
      <c r="P80" s="280" t="str">
        <f t="shared" si="26"/>
        <v/>
      </c>
      <c r="Q80" s="280" t="str">
        <f t="shared" si="26"/>
        <v/>
      </c>
      <c r="R80" s="280" t="str">
        <f t="shared" si="26"/>
        <v/>
      </c>
      <c r="S80" s="280" t="str">
        <f t="shared" si="26"/>
        <v/>
      </c>
      <c r="T80" s="280" t="str">
        <f t="shared" si="26"/>
        <v/>
      </c>
      <c r="U80" s="280" t="str">
        <f t="shared" si="26"/>
        <v/>
      </c>
      <c r="V80" s="280" t="str">
        <f t="shared" si="26"/>
        <v/>
      </c>
      <c r="W80" s="280" t="str">
        <f t="shared" si="26"/>
        <v/>
      </c>
      <c r="X80" s="280" t="str">
        <f t="shared" si="26"/>
        <v/>
      </c>
      <c r="Y80" s="280" t="str">
        <f t="shared" si="26"/>
        <v/>
      </c>
      <c r="Z80" s="280" t="str">
        <f t="shared" si="26"/>
        <v/>
      </c>
      <c r="AA80" s="280" t="str">
        <f t="shared" si="26"/>
        <v/>
      </c>
      <c r="AB80" s="280" t="str">
        <f t="shared" si="26"/>
        <v/>
      </c>
      <c r="AC80" s="280" t="str">
        <f t="shared" si="26"/>
        <v/>
      </c>
      <c r="AD80" s="280" t="str">
        <f t="shared" si="26"/>
        <v/>
      </c>
      <c r="AE80" s="280" t="str">
        <f t="shared" si="26"/>
        <v/>
      </c>
      <c r="AF80" s="205" t="str">
        <f>A80</f>
        <v>Evening work</v>
      </c>
      <c r="AG80" s="274"/>
      <c r="AH80" s="238">
        <f>SUM(B80:AE80)</f>
        <v>0</v>
      </c>
      <c r="AI80" s="261"/>
      <c r="AJ80" s="224"/>
      <c r="AK80" s="245">
        <f ca="1">IF(EB.Anwendung&lt;&gt;"",IF(MONTH(Monat.Tag1)=1,0,IF(MONTH(Monat.Tag1)=2,January!Monat.AAUeVM,IF(MONTH(Monat.Tag1)=3,February!Monat.AAUeVM,IF(MONTH(Monat.Tag1)=4,March!Monat.AAUeVM,IF(MONTH(Monat.Tag1)=5,April!Monat.AAUeVM,IF(MONTH(Monat.Tag1)=6,May!Monat.AAUeVM,IF(MONTH(Monat.Tag1)=7,June!Monat.AAUeVM,IF(MONTH(Monat.Tag1)=8,July!Monat.AAUeVM,IF(MONTH(Monat.Tag1)=9,August!Monat.AAUeVM,IF(MONTH(Monat.Tag1)=10,September!Monat.AAUeVM,IF(MONTH(Monat.Tag1)=11,October!Monat.AAUeVM,IF(MONTH(Monat.Tag1)=12,November!Monat.AAUeVM,"")))))))))))),"")</f>
        <v>0</v>
      </c>
      <c r="AL80" s="209"/>
      <c r="AM80" s="246">
        <f ca="1">AH80+AK80</f>
        <v>0</v>
      </c>
      <c r="AN80" s="208"/>
      <c r="AO80" s="208"/>
      <c r="AP80" s="119"/>
    </row>
    <row r="81" spans="1:42" s="38" customFormat="1" ht="15" customHeight="1" outlineLevel="1" x14ac:dyDescent="0.2">
      <c r="A81" s="212" t="s">
        <v>89</v>
      </c>
      <c r="B81" s="280">
        <f t="shared" ref="B81:AE81" ca="1" si="27">IF(EB.Wochenarbeitszeit=50/24,"",IF(B$12=0,0,IF(OR(WEEKDAY(B$10,2)&gt;5,B$11=0),IF(NOT(B$34=INDEX(T.Pikett.Bereich,1)),1,0),IF(WEEKDAY(B$10,2)&lt;6,IF(AND(OR(B$34=INDEX(T.Pikett.Bereich,2),B$34=INDEX(T.Pikett.Bereich,3)),B$11=1),8/24,0))+IF(WEEKDAY(B$10,2)&lt;6,IF(AND(OR(B$34=INDEX(T.Pikett.Bereich,2),B$34=INDEX(T.Pikett.Bereich,3)),B$11=6/8.4),10/24,0))
+IF(WEEKDAY(B$10,2)&lt;6,IF(AND(OR(B$34=INDEX(T.Pikett.Bereich,2),B$34=INDEX(T.Pikett.Bereich,3)),B$11=0.5),0.5,0))
+IF(AND(B$34=INDEX(T.Pikett.Bereich,4),B$11=6/8.4),0.75,0)+IF(AND(B$34=INDEX(T.Pikett.Bereich,4),B$11=1),16/24,0)
+IF(AND(B$34=INDEX(T.Pikett.Bereich,4),B$11=0.5),20/24,0))))</f>
        <v>0</v>
      </c>
      <c r="C81" s="280">
        <f t="shared" ca="1" si="27"/>
        <v>0</v>
      </c>
      <c r="D81" s="280">
        <f t="shared" ca="1" si="27"/>
        <v>0</v>
      </c>
      <c r="E81" s="280">
        <f t="shared" ca="1" si="27"/>
        <v>0</v>
      </c>
      <c r="F81" s="280">
        <f t="shared" ca="1" si="27"/>
        <v>0</v>
      </c>
      <c r="G81" s="280">
        <f t="shared" ca="1" si="27"/>
        <v>0</v>
      </c>
      <c r="H81" s="280">
        <f t="shared" ca="1" si="27"/>
        <v>0</v>
      </c>
      <c r="I81" s="280">
        <f t="shared" ca="1" si="27"/>
        <v>0</v>
      </c>
      <c r="J81" s="280">
        <f t="shared" ca="1" si="27"/>
        <v>0</v>
      </c>
      <c r="K81" s="280">
        <f t="shared" ca="1" si="27"/>
        <v>0</v>
      </c>
      <c r="L81" s="280">
        <f t="shared" ca="1" si="27"/>
        <v>0</v>
      </c>
      <c r="M81" s="280">
        <f t="shared" ca="1" si="27"/>
        <v>0</v>
      </c>
      <c r="N81" s="280">
        <f t="shared" ca="1" si="27"/>
        <v>0</v>
      </c>
      <c r="O81" s="280">
        <f t="shared" ca="1" si="27"/>
        <v>0</v>
      </c>
      <c r="P81" s="280">
        <f t="shared" ca="1" si="27"/>
        <v>0</v>
      </c>
      <c r="Q81" s="280">
        <f t="shared" ca="1" si="27"/>
        <v>0</v>
      </c>
      <c r="R81" s="280">
        <f t="shared" ca="1" si="27"/>
        <v>0</v>
      </c>
      <c r="S81" s="280">
        <f t="shared" ca="1" si="27"/>
        <v>0</v>
      </c>
      <c r="T81" s="280">
        <f t="shared" ca="1" si="27"/>
        <v>0</v>
      </c>
      <c r="U81" s="280">
        <f t="shared" ca="1" si="27"/>
        <v>0</v>
      </c>
      <c r="V81" s="280">
        <f t="shared" ca="1" si="27"/>
        <v>0</v>
      </c>
      <c r="W81" s="280">
        <f t="shared" ca="1" si="27"/>
        <v>0</v>
      </c>
      <c r="X81" s="280">
        <f t="shared" ca="1" si="27"/>
        <v>0</v>
      </c>
      <c r="Y81" s="280">
        <f t="shared" ca="1" si="27"/>
        <v>0</v>
      </c>
      <c r="Z81" s="280">
        <f t="shared" ca="1" si="27"/>
        <v>0</v>
      </c>
      <c r="AA81" s="280">
        <f t="shared" ca="1" si="27"/>
        <v>0</v>
      </c>
      <c r="AB81" s="280">
        <f t="shared" ca="1" si="27"/>
        <v>0</v>
      </c>
      <c r="AC81" s="280">
        <f t="shared" ca="1" si="27"/>
        <v>0</v>
      </c>
      <c r="AD81" s="280">
        <f t="shared" ca="1" si="27"/>
        <v>0</v>
      </c>
      <c r="AE81" s="280">
        <f t="shared" ca="1" si="27"/>
        <v>0</v>
      </c>
      <c r="AF81" s="205" t="str">
        <f>A81</f>
        <v>On-call duty</v>
      </c>
      <c r="AG81" s="274"/>
      <c r="AH81" s="238">
        <f ca="1">SUM(B81:AE81)</f>
        <v>0</v>
      </c>
      <c r="AI81" s="261"/>
      <c r="AJ81" s="224"/>
      <c r="AK81" s="245">
        <f ca="1">IF(EB.Anwendung&lt;&gt;"",IF(MONTH(Monat.Tag1)=1,0,IF(MONTH(Monat.Tag1)=2,January!Monat.BDUeVM,IF(MONTH(Monat.Tag1)=3,February!Monat.BDUeVM,IF(MONTH(Monat.Tag1)=4,March!Monat.BDUeVM,IF(MONTH(Monat.Tag1)=5,April!Monat.BDUeVM,IF(MONTH(Monat.Tag1)=6,May!Monat.BDUeVM,IF(MONTH(Monat.Tag1)=7,June!Monat.BDUeVM,IF(MONTH(Monat.Tag1)=8,July!Monat.BDUeVM,IF(MONTH(Monat.Tag1)=9,August!Monat.BDUeVM,IF(MONTH(Monat.Tag1)=10,September!Monat.BDUeVM,IF(MONTH(Monat.Tag1)=11,October!Monat.BDUeVM,IF(MONTH(Monat.Tag1)=12,November!Monat.BDUeVM,"")))))))))))),"")</f>
        <v>0</v>
      </c>
      <c r="AL81" s="209"/>
      <c r="AM81" s="246">
        <f ca="1">AH81+AK81</f>
        <v>0</v>
      </c>
      <c r="AN81" s="208"/>
      <c r="AO81" s="208"/>
      <c r="AP81" s="119"/>
    </row>
    <row r="82" spans="1:42" s="38" customFormat="1" ht="15" customHeight="1" outlineLevel="1" x14ac:dyDescent="0.2">
      <c r="A82" s="212" t="s">
        <v>90</v>
      </c>
      <c r="B82" s="280" t="str">
        <f t="shared" ref="B82:AE82" ca="1" si="28">IF(B$12=0,"",IF(OR(WEEKDAY(B$10,2)&gt;5,B$11=0),
IF(T.50_NoVetsuisse,B45,
IF(T.50_Vetsuisse,IF(B23-B73=0,"",B23-B73),
IF(T.ServiceCenterIrchel,B23,
B60))),))</f>
        <v/>
      </c>
      <c r="C82" s="280">
        <f t="shared" ca="1" si="28"/>
        <v>0</v>
      </c>
      <c r="D82" s="281">
        <f t="shared" ca="1" si="28"/>
        <v>0</v>
      </c>
      <c r="E82" s="280">
        <f t="shared" ca="1" si="28"/>
        <v>0</v>
      </c>
      <c r="F82" s="281">
        <f t="shared" ca="1" si="28"/>
        <v>0</v>
      </c>
      <c r="G82" s="281">
        <f t="shared" ca="1" si="28"/>
        <v>0</v>
      </c>
      <c r="H82" s="281" t="str">
        <f t="shared" ca="1" si="28"/>
        <v/>
      </c>
      <c r="I82" s="281" t="str">
        <f t="shared" ca="1" si="28"/>
        <v/>
      </c>
      <c r="J82" s="280">
        <f t="shared" ca="1" si="28"/>
        <v>0</v>
      </c>
      <c r="K82" s="281">
        <f t="shared" ca="1" si="28"/>
        <v>0</v>
      </c>
      <c r="L82" s="280">
        <f t="shared" ca="1" si="28"/>
        <v>0</v>
      </c>
      <c r="M82" s="281">
        <f t="shared" ca="1" si="28"/>
        <v>0</v>
      </c>
      <c r="N82" s="281">
        <f t="shared" ca="1" si="28"/>
        <v>0</v>
      </c>
      <c r="O82" s="281" t="str">
        <f t="shared" ca="1" si="28"/>
        <v/>
      </c>
      <c r="P82" s="281" t="str">
        <f t="shared" ca="1" si="28"/>
        <v/>
      </c>
      <c r="Q82" s="280">
        <f t="shared" ca="1" si="28"/>
        <v>0</v>
      </c>
      <c r="R82" s="281">
        <f t="shared" ca="1" si="28"/>
        <v>0</v>
      </c>
      <c r="S82" s="280">
        <f t="shared" ca="1" si="28"/>
        <v>0</v>
      </c>
      <c r="T82" s="280">
        <f t="shared" ca="1" si="28"/>
        <v>0</v>
      </c>
      <c r="U82" s="281">
        <f t="shared" ca="1" si="28"/>
        <v>0</v>
      </c>
      <c r="V82" s="281" t="str">
        <f t="shared" ca="1" si="28"/>
        <v/>
      </c>
      <c r="W82" s="281" t="str">
        <f t="shared" ca="1" si="28"/>
        <v/>
      </c>
      <c r="X82" s="280">
        <f t="shared" ca="1" si="28"/>
        <v>0</v>
      </c>
      <c r="Y82" s="281">
        <f t="shared" ca="1" si="28"/>
        <v>0</v>
      </c>
      <c r="Z82" s="282">
        <f t="shared" ca="1" si="28"/>
        <v>0</v>
      </c>
      <c r="AA82" s="281">
        <f t="shared" ca="1" si="28"/>
        <v>0</v>
      </c>
      <c r="AB82" s="281">
        <f t="shared" ca="1" si="28"/>
        <v>0</v>
      </c>
      <c r="AC82" s="281" t="str">
        <f t="shared" ca="1" si="28"/>
        <v/>
      </c>
      <c r="AD82" s="281" t="str">
        <f t="shared" ca="1" si="28"/>
        <v/>
      </c>
      <c r="AE82" s="280">
        <f t="shared" ca="1" si="28"/>
        <v>0</v>
      </c>
      <c r="AF82" s="205" t="str">
        <f>A82</f>
        <v>Saturday/Sunday shift</v>
      </c>
      <c r="AG82" s="228"/>
      <c r="AH82" s="238">
        <f ca="1">SUM(B82:AE82)</f>
        <v>0</v>
      </c>
      <c r="AI82" s="229">
        <f ca="1">IFERROR(SUMPRODUCT((B82:AE82&gt;0)*(B82:AE82&lt;&gt;"")),0)</f>
        <v>0</v>
      </c>
      <c r="AJ82" s="224"/>
      <c r="AK82" s="245">
        <f ca="1">IF(EB.Anwendung&lt;&gt;"",IF(MONTH(Monat.Tag1)=1,0,IF(MONTH(Monat.Tag1)=2,January!Monat.SDUeVM,IF(MONTH(Monat.Tag1)=3,February!Monat.SDUeVM,IF(MONTH(Monat.Tag1)=4,March!Monat.SDUeVM,IF(MONTH(Monat.Tag1)=5,April!Monat.SDUeVM,IF(MONTH(Monat.Tag1)=6,May!Monat.SDUeVM,IF(MONTH(Monat.Tag1)=7,June!Monat.SDUeVM,IF(MONTH(Monat.Tag1)=8,July!Monat.SDUeVM,IF(MONTH(Monat.Tag1)=9,August!Monat.SDUeVM,IF(MONTH(Monat.Tag1)=10,September!Monat.SDUeVM,IF(MONTH(Monat.Tag1)=11,October!Monat.SDUeVM,IF(MONTH(Monat.Tag1)=12,November!Monat.SDUeVM,"")))))))))))),"")</f>
        <v>0</v>
      </c>
      <c r="AL82" s="209"/>
      <c r="AM82" s="246">
        <f ca="1">AH82+AK82</f>
        <v>0</v>
      </c>
      <c r="AN82" s="208"/>
      <c r="AO82" s="208"/>
      <c r="AP82" s="119"/>
    </row>
    <row r="83" spans="1:42" s="38" customFormat="1" ht="11.25" customHeight="1" outlineLevel="1" x14ac:dyDescent="0.2">
      <c r="A83" s="220"/>
      <c r="B83" s="226"/>
      <c r="C83" s="226"/>
      <c r="D83" s="226"/>
      <c r="E83" s="226"/>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05"/>
      <c r="AG83" s="228"/>
      <c r="AH83" s="224"/>
      <c r="AI83" s="278"/>
      <c r="AJ83" s="262"/>
      <c r="AK83" s="262"/>
      <c r="AL83" s="209"/>
      <c r="AM83" s="279"/>
      <c r="AN83" s="283"/>
      <c r="AO83" s="283"/>
      <c r="AP83" s="119"/>
    </row>
    <row r="84" spans="1:42" s="38" customFormat="1" ht="15" customHeight="1" x14ac:dyDescent="0.2">
      <c r="A84" s="212" t="s">
        <v>80</v>
      </c>
      <c r="B84" s="40"/>
      <c r="C84" s="40"/>
      <c r="D84" s="40"/>
      <c r="E84" s="40"/>
      <c r="F84" s="40"/>
      <c r="G84" s="40"/>
      <c r="H84" s="40"/>
      <c r="I84" s="40"/>
      <c r="J84" s="40"/>
      <c r="K84" s="40"/>
      <c r="L84" s="40"/>
      <c r="M84" s="40"/>
      <c r="N84" s="40"/>
      <c r="O84" s="40"/>
      <c r="P84" s="40"/>
      <c r="Q84" s="40"/>
      <c r="R84" s="40"/>
      <c r="S84" s="40"/>
      <c r="T84" s="40"/>
      <c r="U84" s="40"/>
      <c r="V84" s="40"/>
      <c r="W84" s="40"/>
      <c r="X84" s="40"/>
      <c r="Y84" s="40"/>
      <c r="Z84" s="47"/>
      <c r="AA84" s="40"/>
      <c r="AB84" s="40"/>
      <c r="AC84" s="40"/>
      <c r="AD84" s="40"/>
      <c r="AE84" s="40"/>
      <c r="AF84" s="205" t="str">
        <f>A84 &amp; IFERROR(IF(AND(MONTH(Monat.Tag1)=6,EB.Jahr&gt;2020),IF(SUM(Jahresabrechnung!AC15:AC20)&lt;EB.FerienBer,IF(EB.Sprache="EN"," (Balance PY "," (Saldo VJ ") &amp; " &gt; 0!)",""),""),"")</f>
        <v>Vacation</v>
      </c>
      <c r="AG84" s="218"/>
      <c r="AH84" s="238">
        <f>SUM(B84:AE84)</f>
        <v>0</v>
      </c>
      <c r="AI84" s="261"/>
      <c r="AJ84" s="245">
        <f ca="1">OFFSET(EB.MFAStd.Knoten,MONTH(Monat.Tag1),0,1,1)</f>
        <v>0</v>
      </c>
      <c r="AK84" s="245">
        <f ca="1">IF(EB.Anwendung&lt;&gt;"",IF(MONTH(Monat.Tag1)=1,EB.FerienBer,IF(MONTH(Monat.Tag1)=2,January!Monat.FerienUeVM,IF(MONTH(Monat.Tag1)=3,February!Monat.FerienUeVM,IF(MONTH(Monat.Tag1)=4,March!Monat.FerienUeVM,IF(MONTH(Monat.Tag1)=5,April!Monat.FerienUeVM,IF(MONTH(Monat.Tag1)=6,May!Monat.FerienUeVM,IF(MONTH(Monat.Tag1)=7,June!Monat.FerienUeVM,IF(MONTH(Monat.Tag1)=8,July!Monat.FerienUeVM,IF(MONTH(Monat.Tag1)=9,August!Monat.FerienUeVM,IF(MONTH(Monat.Tag1)=10,September!Monat.FerienUeVM,IF(MONTH(Monat.Tag1)=11,October!Monat.FerienUeVM,IF(MONTH(Monat.Tag1)=12,November!Monat.FerienUeVM,"")))))))))))),"")</f>
        <v>0</v>
      </c>
      <c r="AL84" s="209"/>
      <c r="AM84" s="246">
        <f ca="1">ROUND(IF(AG85="+",(AJ84+AK84-Monat.Ferien.Total+AH85),(AJ84+AK84-Monat.Ferien.Total-AH85))*1440,0)/1440</f>
        <v>0</v>
      </c>
      <c r="AN84" s="246">
        <f ca="1">SUM(Jahresabrechnung!AC12:AC13)-SUM(OFFSET(Jahresabrechnung!AC15,0,0,MONTH(Monat.Tag1),1))</f>
        <v>0</v>
      </c>
      <c r="AO84" s="246">
        <f ca="1">J.FerienUE.Total</f>
        <v>0</v>
      </c>
      <c r="AP84" s="119"/>
    </row>
    <row r="85" spans="1:42" s="38" customFormat="1" ht="15" customHeight="1" x14ac:dyDescent="0.2">
      <c r="A85" s="220"/>
      <c r="B85" s="437">
        <f t="shared" ref="B85:AE85" ca="1" si="29">IF(DAY(B$10)=1,Monat.Ferien.JS+Monat.Ferien.Total-B84,A85-B84)</f>
        <v>0</v>
      </c>
      <c r="C85" s="437">
        <f t="shared" ca="1" si="29"/>
        <v>0</v>
      </c>
      <c r="D85" s="437">
        <f t="shared" ca="1" si="29"/>
        <v>0</v>
      </c>
      <c r="E85" s="437">
        <f t="shared" ca="1" si="29"/>
        <v>0</v>
      </c>
      <c r="F85" s="437">
        <f t="shared" ca="1" si="29"/>
        <v>0</v>
      </c>
      <c r="G85" s="437">
        <f t="shared" ca="1" si="29"/>
        <v>0</v>
      </c>
      <c r="H85" s="437">
        <f t="shared" ca="1" si="29"/>
        <v>0</v>
      </c>
      <c r="I85" s="437">
        <f t="shared" ca="1" si="29"/>
        <v>0</v>
      </c>
      <c r="J85" s="437">
        <f t="shared" ca="1" si="29"/>
        <v>0</v>
      </c>
      <c r="K85" s="437">
        <f t="shared" ca="1" si="29"/>
        <v>0</v>
      </c>
      <c r="L85" s="437">
        <f t="shared" ca="1" si="29"/>
        <v>0</v>
      </c>
      <c r="M85" s="437">
        <f t="shared" ca="1" si="29"/>
        <v>0</v>
      </c>
      <c r="N85" s="437">
        <f t="shared" ca="1" si="29"/>
        <v>0</v>
      </c>
      <c r="O85" s="437">
        <f t="shared" ca="1" si="29"/>
        <v>0</v>
      </c>
      <c r="P85" s="437">
        <f t="shared" ca="1" si="29"/>
        <v>0</v>
      </c>
      <c r="Q85" s="437">
        <f t="shared" ca="1" si="29"/>
        <v>0</v>
      </c>
      <c r="R85" s="437">
        <f t="shared" ca="1" si="29"/>
        <v>0</v>
      </c>
      <c r="S85" s="437">
        <f t="shared" ca="1" si="29"/>
        <v>0</v>
      </c>
      <c r="T85" s="437">
        <f t="shared" ca="1" si="29"/>
        <v>0</v>
      </c>
      <c r="U85" s="437">
        <f t="shared" ca="1" si="29"/>
        <v>0</v>
      </c>
      <c r="V85" s="437">
        <f t="shared" ca="1" si="29"/>
        <v>0</v>
      </c>
      <c r="W85" s="437">
        <f t="shared" ca="1" si="29"/>
        <v>0</v>
      </c>
      <c r="X85" s="437">
        <f t="shared" ca="1" si="29"/>
        <v>0</v>
      </c>
      <c r="Y85" s="437">
        <f t="shared" ca="1" si="29"/>
        <v>0</v>
      </c>
      <c r="Z85" s="437">
        <f t="shared" ca="1" si="29"/>
        <v>0</v>
      </c>
      <c r="AA85" s="437">
        <f t="shared" ca="1" si="29"/>
        <v>0</v>
      </c>
      <c r="AB85" s="437">
        <f t="shared" ca="1" si="29"/>
        <v>0</v>
      </c>
      <c r="AC85" s="437">
        <f t="shared" ca="1" si="29"/>
        <v>0</v>
      </c>
      <c r="AD85" s="437">
        <f t="shared" ca="1" si="29"/>
        <v>0</v>
      </c>
      <c r="AE85" s="437">
        <f t="shared" ca="1" si="29"/>
        <v>0</v>
      </c>
      <c r="AF85" s="212" t="s">
        <v>92</v>
      </c>
      <c r="AG85" s="45" t="s">
        <v>2</v>
      </c>
      <c r="AH85" s="48"/>
      <c r="AI85" s="270"/>
      <c r="AJ85" s="209"/>
      <c r="AK85" s="209"/>
      <c r="AL85" s="209"/>
      <c r="AM85" s="208"/>
      <c r="AN85" s="284"/>
      <c r="AO85" s="284"/>
      <c r="AP85" s="119"/>
    </row>
    <row r="86" spans="1:42" s="38" customFormat="1" ht="15" customHeight="1" x14ac:dyDescent="0.2">
      <c r="A86" s="212" t="s">
        <v>81</v>
      </c>
      <c r="B86" s="40"/>
      <c r="C86" s="40"/>
      <c r="D86" s="40"/>
      <c r="E86" s="27"/>
      <c r="F86" s="40"/>
      <c r="G86" s="40"/>
      <c r="H86" s="40"/>
      <c r="I86" s="40"/>
      <c r="J86" s="27"/>
      <c r="K86" s="40"/>
      <c r="L86" s="27"/>
      <c r="M86" s="40"/>
      <c r="N86" s="40"/>
      <c r="O86" s="40"/>
      <c r="P86" s="40"/>
      <c r="Q86" s="27"/>
      <c r="R86" s="40"/>
      <c r="S86" s="27"/>
      <c r="T86" s="27"/>
      <c r="U86" s="40"/>
      <c r="V86" s="40"/>
      <c r="W86" s="40"/>
      <c r="X86" s="27"/>
      <c r="Y86" s="40"/>
      <c r="Z86" s="39"/>
      <c r="AA86" s="40"/>
      <c r="AB86" s="40"/>
      <c r="AC86" s="40"/>
      <c r="AD86" s="40"/>
      <c r="AE86" s="27"/>
      <c r="AF86" s="205" t="str">
        <f t="shared" ref="AF86:AF95" si="30">A86</f>
        <v>Consultation</v>
      </c>
      <c r="AG86" s="218"/>
      <c r="AH86" s="238">
        <f t="shared" ref="AH86:AH95" si="31">SUM(B86:AE86)</f>
        <v>0</v>
      </c>
      <c r="AI86" s="261"/>
      <c r="AJ86" s="262"/>
      <c r="AK86" s="245">
        <f ca="1">IF(EB.Anwendung&lt;&gt;"",IF(MONTH(Monat.Tag1)=1,0,IF(MONTH(Monat.Tag1)=2,January!Monat.ArztUeVM,IF(MONTH(Monat.Tag1)=3,February!Monat.ArztUeVM,IF(MONTH(Monat.Tag1)=4,March!Monat.ArztUeVM,IF(MONTH(Monat.Tag1)=5,April!Monat.ArztUeVM,IF(MONTH(Monat.Tag1)=6,May!Monat.ArztUeVM,IF(MONTH(Monat.Tag1)=7,June!Monat.ArztUeVM,IF(MONTH(Monat.Tag1)=8,July!Monat.ArztUeVM,IF(MONTH(Monat.Tag1)=9,August!Monat.ArztUeVM,IF(MONTH(Monat.Tag1)=10,September!Monat.ArztUeVM,IF(MONTH(Monat.Tag1)=11,October!Monat.ArztUeVM,IF(MONTH(Monat.Tag1)=12,November!Monat.ArztUeVM,"")))))))))))),"")</f>
        <v>0</v>
      </c>
      <c r="AL86" s="209"/>
      <c r="AM86" s="246">
        <f t="shared" ref="AM86:AM94" ca="1" si="32">AH86+AK86</f>
        <v>0</v>
      </c>
      <c r="AN86" s="208"/>
      <c r="AO86" s="208"/>
      <c r="AP86" s="119"/>
    </row>
    <row r="87" spans="1:42" s="38" customFormat="1" ht="15" customHeight="1" x14ac:dyDescent="0.2">
      <c r="A87" s="212" t="s">
        <v>82</v>
      </c>
      <c r="B87" s="40"/>
      <c r="C87" s="40"/>
      <c r="D87" s="40"/>
      <c r="E87" s="27"/>
      <c r="F87" s="40"/>
      <c r="G87" s="40"/>
      <c r="H87" s="40"/>
      <c r="I87" s="40"/>
      <c r="J87" s="27"/>
      <c r="K87" s="40"/>
      <c r="L87" s="27"/>
      <c r="M87" s="40"/>
      <c r="N87" s="40"/>
      <c r="O87" s="40"/>
      <c r="P87" s="40"/>
      <c r="Q87" s="27"/>
      <c r="R87" s="40"/>
      <c r="S87" s="27"/>
      <c r="T87" s="27"/>
      <c r="U87" s="40"/>
      <c r="V87" s="40"/>
      <c r="W87" s="40"/>
      <c r="X87" s="27"/>
      <c r="Y87" s="40"/>
      <c r="Z87" s="39"/>
      <c r="AA87" s="40"/>
      <c r="AB87" s="40"/>
      <c r="AC87" s="40"/>
      <c r="AD87" s="40"/>
      <c r="AE87" s="27"/>
      <c r="AF87" s="205" t="str">
        <f t="shared" si="30"/>
        <v>Illness</v>
      </c>
      <c r="AG87" s="218"/>
      <c r="AH87" s="238">
        <f t="shared" si="31"/>
        <v>0</v>
      </c>
      <c r="AI87" s="261"/>
      <c r="AJ87" s="262"/>
      <c r="AK87" s="245">
        <f ca="1">IF(EB.Anwendung&lt;&gt;"",IF(MONTH(Monat.Tag1)=1,0,IF(MONTH(Monat.Tag1)=2,January!Monat.KrankUeVM,IF(MONTH(Monat.Tag1)=3,February!Monat.KrankUeVM,IF(MONTH(Monat.Tag1)=4,March!Monat.KrankUeVM,IF(MONTH(Monat.Tag1)=5,April!Monat.KrankUeVM,IF(MONTH(Monat.Tag1)=6,May!Monat.KrankUeVM,IF(MONTH(Monat.Tag1)=7,June!Monat.KrankUeVM,IF(MONTH(Monat.Tag1)=8,July!Monat.KrankUeVM,IF(MONTH(Monat.Tag1)=9,August!Monat.KrankUeVM,IF(MONTH(Monat.Tag1)=10,September!Monat.KrankUeVM,IF(MONTH(Monat.Tag1)=11,October!Monat.KrankUeVM,IF(MONTH(Monat.Tag1)=12,November!Monat.KrankUeVM,"")))))))))))),"")</f>
        <v>0</v>
      </c>
      <c r="AL87" s="209"/>
      <c r="AM87" s="246">
        <f t="shared" ca="1" si="32"/>
        <v>0</v>
      </c>
      <c r="AN87" s="208"/>
      <c r="AO87" s="208"/>
      <c r="AP87" s="119"/>
    </row>
    <row r="88" spans="1:42" s="38" customFormat="1" ht="15" customHeight="1" x14ac:dyDescent="0.2">
      <c r="A88" s="212" t="s">
        <v>83</v>
      </c>
      <c r="B88" s="40"/>
      <c r="C88" s="40"/>
      <c r="D88" s="40"/>
      <c r="E88" s="27"/>
      <c r="F88" s="40"/>
      <c r="G88" s="40"/>
      <c r="H88" s="40"/>
      <c r="I88" s="40"/>
      <c r="J88" s="27"/>
      <c r="K88" s="40"/>
      <c r="L88" s="27"/>
      <c r="M88" s="40"/>
      <c r="N88" s="40"/>
      <c r="O88" s="40"/>
      <c r="P88" s="40"/>
      <c r="Q88" s="27"/>
      <c r="R88" s="40"/>
      <c r="S88" s="27"/>
      <c r="T88" s="27"/>
      <c r="U88" s="40"/>
      <c r="V88" s="40"/>
      <c r="W88" s="40"/>
      <c r="X88" s="27"/>
      <c r="Y88" s="40"/>
      <c r="Z88" s="39"/>
      <c r="AA88" s="40"/>
      <c r="AB88" s="40"/>
      <c r="AC88" s="40"/>
      <c r="AD88" s="40"/>
      <c r="AE88" s="27"/>
      <c r="AF88" s="205" t="str">
        <f t="shared" si="30"/>
        <v>Work-related accident</v>
      </c>
      <c r="AG88" s="218"/>
      <c r="AH88" s="238">
        <f t="shared" si="31"/>
        <v>0</v>
      </c>
      <c r="AI88" s="261"/>
      <c r="AJ88" s="262"/>
      <c r="AK88" s="245">
        <f ca="1">IF(EB.Anwendung&lt;&gt;"",IF(MONTH(Monat.Tag1)=1,0,IF(MONTH(Monat.Tag1)=2,January!Monat.BUUeVM,IF(MONTH(Monat.Tag1)=3,February!Monat.BUUeVM,IF(MONTH(Monat.Tag1)=4,March!Monat.BUUeVM,IF(MONTH(Monat.Tag1)=5,April!Monat.BUUeVM,IF(MONTH(Monat.Tag1)=6,May!Monat.BUUeVM,IF(MONTH(Monat.Tag1)=7,June!Monat.BUUeVM,IF(MONTH(Monat.Tag1)=8,July!Monat.BUUeVM,IF(MONTH(Monat.Tag1)=9,August!Monat.BUUeVM,IF(MONTH(Monat.Tag1)=10,September!Monat.BUUeVM,IF(MONTH(Monat.Tag1)=11,October!Monat.BUUeVM,IF(MONTH(Monat.Tag1)=12,November!Monat.BUUeVM,"")))))))))))),"")</f>
        <v>0</v>
      </c>
      <c r="AL88" s="209"/>
      <c r="AM88" s="246">
        <f t="shared" ca="1" si="32"/>
        <v>0</v>
      </c>
      <c r="AN88" s="208"/>
      <c r="AO88" s="208"/>
      <c r="AP88" s="119"/>
    </row>
    <row r="89" spans="1:42" s="38" customFormat="1" ht="15" customHeight="1" x14ac:dyDescent="0.2">
      <c r="A89" s="212" t="s">
        <v>240</v>
      </c>
      <c r="B89" s="40"/>
      <c r="C89" s="40"/>
      <c r="D89" s="40"/>
      <c r="E89" s="27"/>
      <c r="F89" s="40"/>
      <c r="G89" s="40"/>
      <c r="H89" s="40"/>
      <c r="I89" s="40"/>
      <c r="J89" s="27"/>
      <c r="K89" s="40"/>
      <c r="L89" s="27"/>
      <c r="M89" s="40"/>
      <c r="N89" s="40"/>
      <c r="O89" s="40"/>
      <c r="P89" s="40"/>
      <c r="Q89" s="27"/>
      <c r="R89" s="40"/>
      <c r="S89" s="27"/>
      <c r="T89" s="27"/>
      <c r="U89" s="40"/>
      <c r="V89" s="40"/>
      <c r="W89" s="40"/>
      <c r="X89" s="27"/>
      <c r="Y89" s="40"/>
      <c r="Z89" s="39"/>
      <c r="AA89" s="40"/>
      <c r="AB89" s="40"/>
      <c r="AC89" s="40"/>
      <c r="AD89" s="40"/>
      <c r="AE89" s="27"/>
      <c r="AF89" s="205" t="str">
        <f t="shared" si="30"/>
        <v>Non-work-related accident</v>
      </c>
      <c r="AG89" s="218"/>
      <c r="AH89" s="238">
        <f t="shared" si="31"/>
        <v>0</v>
      </c>
      <c r="AI89" s="261"/>
      <c r="AJ89" s="262"/>
      <c r="AK89" s="245">
        <f ca="1">IF(EB.Anwendung&lt;&gt;"",IF(MONTH(Monat.Tag1)=1,0,IF(MONTH(Monat.Tag1)=2,January!Monat.NBUUeVM,IF(MONTH(Monat.Tag1)=3,February!Monat.NBUUeVM,IF(MONTH(Monat.Tag1)=4,March!Monat.NBUUeVM,IF(MONTH(Monat.Tag1)=5,April!Monat.NBUUeVM,IF(MONTH(Monat.Tag1)=6,May!Monat.NBUUeVM,IF(MONTH(Monat.Tag1)=7,June!Monat.NBUUeVM,IF(MONTH(Monat.Tag1)=8,July!Monat.NBUUeVM,IF(MONTH(Monat.Tag1)=9,August!Monat.NBUUeVM,IF(MONTH(Monat.Tag1)=10,September!Monat.NBUUeVM,IF(MONTH(Monat.Tag1)=11,October!Monat.NBUUeVM,IF(MONTH(Monat.Tag1)=12,November!Monat.NBUUeVM,"")))))))))))),"")</f>
        <v>0</v>
      </c>
      <c r="AL89" s="209"/>
      <c r="AM89" s="246">
        <f t="shared" ca="1" si="32"/>
        <v>0</v>
      </c>
      <c r="AN89" s="208"/>
      <c r="AO89" s="208"/>
      <c r="AP89" s="119"/>
    </row>
    <row r="90" spans="1:42" s="38" customFormat="1" ht="15" customHeight="1" x14ac:dyDescent="0.2">
      <c r="A90" s="212" t="s">
        <v>84</v>
      </c>
      <c r="B90" s="40"/>
      <c r="C90" s="40"/>
      <c r="D90" s="40"/>
      <c r="E90" s="27"/>
      <c r="F90" s="40"/>
      <c r="G90" s="40"/>
      <c r="H90" s="40"/>
      <c r="I90" s="40"/>
      <c r="J90" s="27"/>
      <c r="K90" s="40"/>
      <c r="L90" s="27"/>
      <c r="M90" s="40"/>
      <c r="N90" s="40"/>
      <c r="O90" s="40"/>
      <c r="P90" s="40"/>
      <c r="Q90" s="27"/>
      <c r="R90" s="40"/>
      <c r="S90" s="27"/>
      <c r="T90" s="27"/>
      <c r="U90" s="40"/>
      <c r="V90" s="40"/>
      <c r="W90" s="40"/>
      <c r="X90" s="27"/>
      <c r="Y90" s="40"/>
      <c r="Z90" s="39"/>
      <c r="AA90" s="40"/>
      <c r="AB90" s="40"/>
      <c r="AC90" s="40"/>
      <c r="AD90" s="40"/>
      <c r="AE90" s="27"/>
      <c r="AF90" s="205" t="str">
        <f t="shared" si="30"/>
        <v>Military/civilian service</v>
      </c>
      <c r="AG90" s="218"/>
      <c r="AH90" s="238">
        <f t="shared" si="31"/>
        <v>0</v>
      </c>
      <c r="AI90" s="261"/>
      <c r="AJ90" s="262"/>
      <c r="AK90" s="245">
        <f ca="1">IF(EB.Anwendung&lt;&gt;"",IF(MONTH(Monat.Tag1)=1,0,IF(MONTH(Monat.Tag1)=2,January!Monat.MZSUeVM,IF(MONTH(Monat.Tag1)=3,February!Monat.MZSUeVM,IF(MONTH(Monat.Tag1)=4,March!Monat.MZSUeVM,IF(MONTH(Monat.Tag1)=5,April!Monat.MZSUeVM,IF(MONTH(Monat.Tag1)=6,May!Monat.MZSUeVM,IF(MONTH(Monat.Tag1)=7,June!Monat.MZSUeVM,IF(MONTH(Monat.Tag1)=8,July!Monat.MZSUeVM,IF(MONTH(Monat.Tag1)=9,August!Monat.MZSUeVM,IF(MONTH(Monat.Tag1)=10,September!Monat.MZSUeVM,IF(MONTH(Monat.Tag1)=11,October!Monat.MZSUeVM,IF(MONTH(Monat.Tag1)=12,November!Monat.MZSUeVM,"")))))))))))),"")</f>
        <v>0</v>
      </c>
      <c r="AL90" s="209"/>
      <c r="AM90" s="246">
        <f t="shared" ca="1" si="32"/>
        <v>0</v>
      </c>
      <c r="AN90" s="208"/>
      <c r="AO90" s="208"/>
      <c r="AP90" s="119"/>
    </row>
    <row r="91" spans="1:42" s="38" customFormat="1" ht="15" customHeight="1" x14ac:dyDescent="0.2">
      <c r="A91" s="212" t="s">
        <v>85</v>
      </c>
      <c r="B91" s="40"/>
      <c r="C91" s="40"/>
      <c r="D91" s="40"/>
      <c r="E91" s="27"/>
      <c r="F91" s="40"/>
      <c r="G91" s="40"/>
      <c r="H91" s="40"/>
      <c r="I91" s="40"/>
      <c r="J91" s="27"/>
      <c r="K91" s="40"/>
      <c r="L91" s="27"/>
      <c r="M91" s="40"/>
      <c r="N91" s="40"/>
      <c r="O91" s="40"/>
      <c r="P91" s="40"/>
      <c r="Q91" s="27"/>
      <c r="R91" s="40"/>
      <c r="S91" s="27"/>
      <c r="T91" s="27"/>
      <c r="U91" s="40"/>
      <c r="V91" s="40"/>
      <c r="W91" s="40"/>
      <c r="X91" s="27"/>
      <c r="Y91" s="40"/>
      <c r="Z91" s="39"/>
      <c r="AA91" s="40"/>
      <c r="AB91" s="40"/>
      <c r="AC91" s="40"/>
      <c r="AD91" s="40"/>
      <c r="AE91" s="27"/>
      <c r="AF91" s="205" t="str">
        <f t="shared" si="30"/>
        <v>Continuing education</v>
      </c>
      <c r="AG91" s="218"/>
      <c r="AH91" s="238">
        <f t="shared" si="31"/>
        <v>0</v>
      </c>
      <c r="AI91" s="261"/>
      <c r="AJ91" s="262"/>
      <c r="AK91" s="245">
        <f ca="1">IF(EB.Anwendung&lt;&gt;"",IF(MONTH(Monat.Tag1)=1,0,IF(MONTH(Monat.Tag1)=2,January!Monat.WBUeVM,IF(MONTH(Monat.Tag1)=3,February!Monat.WBUeVM,IF(MONTH(Monat.Tag1)=4,March!Monat.WBUeVM,IF(MONTH(Monat.Tag1)=5,April!Monat.WBUeVM,IF(MONTH(Monat.Tag1)=6,May!Monat.WBUeVM,IF(MONTH(Monat.Tag1)=7,June!Monat.WBUeVM,IF(MONTH(Monat.Tag1)=8,July!Monat.WBUeVM,IF(MONTH(Monat.Tag1)=9,August!Monat.WBUeVM,IF(MONTH(Monat.Tag1)=10,September!Monat.WBUeVM,IF(MONTH(Monat.Tag1)=11,October!Monat.WBUeVM,IF(MONTH(Monat.Tag1)=12,November!Monat.WBUeVM,"")))))))))))),"")</f>
        <v>0</v>
      </c>
      <c r="AL91" s="209"/>
      <c r="AM91" s="246">
        <f t="shared" ca="1" si="32"/>
        <v>0</v>
      </c>
      <c r="AN91" s="208"/>
      <c r="AO91" s="208"/>
      <c r="AP91" s="119"/>
    </row>
    <row r="92" spans="1:42" s="38" customFormat="1" ht="15" customHeight="1" x14ac:dyDescent="0.2">
      <c r="A92" s="212" t="s">
        <v>86</v>
      </c>
      <c r="B92" s="40"/>
      <c r="C92" s="40"/>
      <c r="D92" s="40"/>
      <c r="E92" s="27"/>
      <c r="F92" s="40"/>
      <c r="G92" s="40"/>
      <c r="H92" s="40"/>
      <c r="I92" s="40"/>
      <c r="J92" s="27"/>
      <c r="K92" s="40"/>
      <c r="L92" s="27"/>
      <c r="M92" s="40"/>
      <c r="N92" s="40"/>
      <c r="O92" s="40"/>
      <c r="P92" s="40"/>
      <c r="Q92" s="27"/>
      <c r="R92" s="40"/>
      <c r="S92" s="27"/>
      <c r="T92" s="27"/>
      <c r="U92" s="40"/>
      <c r="V92" s="40"/>
      <c r="W92" s="40"/>
      <c r="X92" s="27"/>
      <c r="Y92" s="40"/>
      <c r="Z92" s="39"/>
      <c r="AA92" s="40"/>
      <c r="AB92" s="40"/>
      <c r="AC92" s="40"/>
      <c r="AD92" s="40"/>
      <c r="AE92" s="27"/>
      <c r="AF92" s="205" t="str">
        <f t="shared" si="30"/>
        <v>Paid leave</v>
      </c>
      <c r="AG92" s="218"/>
      <c r="AH92" s="238">
        <f t="shared" si="31"/>
        <v>0</v>
      </c>
      <c r="AI92" s="261"/>
      <c r="AJ92" s="262"/>
      <c r="AK92" s="245">
        <f ca="1">IF(EB.Anwendung&lt;&gt;"",IF(MONTH(Monat.Tag1)=1,0,IF(MONTH(Monat.Tag1)=2,January!Monat.BesUrlaubUeVM,IF(MONTH(Monat.Tag1)=3,February!Monat.BesUrlaubUeVM,IF(MONTH(Monat.Tag1)=4,March!Monat.BesUrlaubUeVM,IF(MONTH(Monat.Tag1)=5,April!Monat.BesUrlaubUeVM,IF(MONTH(Monat.Tag1)=6,May!Monat.BesUrlaubUeVM,IF(MONTH(Monat.Tag1)=7,June!Monat.BesUrlaubUeVM,IF(MONTH(Monat.Tag1)=8,July!Monat.BesUrlaubUeVM,IF(MONTH(Monat.Tag1)=9,August!Monat.BesUrlaubUeVM,IF(MONTH(Monat.Tag1)=10,September!Monat.BesUrlaubUeVM,IF(MONTH(Monat.Tag1)=11,October!Monat.BesUrlaubUeVM,IF(MONTH(Monat.Tag1)=12,November!Monat.BesUrlaubUeVM,"")))))))))))),"")</f>
        <v>0</v>
      </c>
      <c r="AL92" s="209"/>
      <c r="AM92" s="246">
        <f t="shared" ca="1" si="32"/>
        <v>0</v>
      </c>
      <c r="AN92" s="208"/>
      <c r="AO92" s="208"/>
      <c r="AP92" s="119"/>
    </row>
    <row r="93" spans="1:42" s="38" customFormat="1" ht="15" customHeight="1" x14ac:dyDescent="0.2">
      <c r="A93" s="212" t="s">
        <v>87</v>
      </c>
      <c r="B93" s="40"/>
      <c r="C93" s="40"/>
      <c r="D93" s="40"/>
      <c r="E93" s="27"/>
      <c r="F93" s="40"/>
      <c r="G93" s="40"/>
      <c r="H93" s="40"/>
      <c r="I93" s="40"/>
      <c r="J93" s="27"/>
      <c r="K93" s="40"/>
      <c r="L93" s="27"/>
      <c r="M93" s="40"/>
      <c r="N93" s="40"/>
      <c r="O93" s="40"/>
      <c r="P93" s="40"/>
      <c r="Q93" s="27"/>
      <c r="R93" s="40"/>
      <c r="S93" s="27"/>
      <c r="T93" s="27"/>
      <c r="U93" s="40"/>
      <c r="V93" s="40"/>
      <c r="W93" s="40"/>
      <c r="X93" s="27"/>
      <c r="Y93" s="40"/>
      <c r="Z93" s="39"/>
      <c r="AA93" s="40"/>
      <c r="AB93" s="40"/>
      <c r="AC93" s="40"/>
      <c r="AD93" s="40"/>
      <c r="AE93" s="27"/>
      <c r="AF93" s="205" t="str">
        <f t="shared" si="30"/>
        <v>Unpaid leave</v>
      </c>
      <c r="AG93" s="218"/>
      <c r="AH93" s="238">
        <f t="shared" si="31"/>
        <v>0</v>
      </c>
      <c r="AI93" s="261"/>
      <c r="AJ93" s="262"/>
      <c r="AK93" s="245">
        <f ca="1">IF(EB.Anwendung&lt;&gt;"",IF(MONTH(Monat.Tag1)=1,0,IF(MONTH(Monat.Tag1)=2,January!Monat.UnbesUrlaubUeVM,IF(MONTH(Monat.Tag1)=3,February!Monat.UnbesUrlaubUeVM,IF(MONTH(Monat.Tag1)=4,March!Monat.UnbesUrlaubUeVM,IF(MONTH(Monat.Tag1)=5,April!Monat.UnbesUrlaubUeVM,IF(MONTH(Monat.Tag1)=6,May!Monat.UnbesUrlaubUeVM,IF(MONTH(Monat.Tag1)=7,June!Monat.UnbesUrlaubUeVM,IF(MONTH(Monat.Tag1)=8,July!Monat.UnbesUrlaubUeVM,IF(MONTH(Monat.Tag1)=9,August!Monat.UnbesUrlaubUeVM,IF(MONTH(Monat.Tag1)=10,September!Monat.UnbesUrlaubUeVM,IF(MONTH(Monat.Tag1)=11,October!Monat.UnbesUrlaubUeVM,IF(MONTH(Monat.Tag1)=12,November!Monat.UnbesUrlaubUeVM,"")))))))))))),"")</f>
        <v>0</v>
      </c>
      <c r="AL93" s="209"/>
      <c r="AM93" s="246">
        <f t="shared" ca="1" si="32"/>
        <v>0</v>
      </c>
      <c r="AN93" s="208"/>
      <c r="AO93" s="208"/>
      <c r="AP93" s="119"/>
    </row>
    <row r="94" spans="1:42" s="38" customFormat="1" ht="15" hidden="1" customHeight="1" outlineLevel="1" x14ac:dyDescent="0.2">
      <c r="A94" s="212" t="s">
        <v>120</v>
      </c>
      <c r="B94" s="40"/>
      <c r="C94" s="40"/>
      <c r="D94" s="40"/>
      <c r="E94" s="27"/>
      <c r="F94" s="40"/>
      <c r="G94" s="40"/>
      <c r="H94" s="40"/>
      <c r="I94" s="40"/>
      <c r="J94" s="27"/>
      <c r="K94" s="40"/>
      <c r="L94" s="27"/>
      <c r="M94" s="40"/>
      <c r="N94" s="40"/>
      <c r="O94" s="40"/>
      <c r="P94" s="40"/>
      <c r="Q94" s="27"/>
      <c r="R94" s="40"/>
      <c r="S94" s="27"/>
      <c r="T94" s="27"/>
      <c r="U94" s="40"/>
      <c r="V94" s="40"/>
      <c r="W94" s="40"/>
      <c r="X94" s="27"/>
      <c r="Y94" s="40"/>
      <c r="Z94" s="39"/>
      <c r="AA94" s="40"/>
      <c r="AB94" s="40"/>
      <c r="AC94" s="40"/>
      <c r="AD94" s="40"/>
      <c r="AE94" s="27"/>
      <c r="AF94" s="205" t="str">
        <f t="shared" si="30"/>
        <v>Secondary employment</v>
      </c>
      <c r="AG94" s="218"/>
      <c r="AH94" s="238">
        <f t="shared" si="31"/>
        <v>0</v>
      </c>
      <c r="AI94" s="261"/>
      <c r="AJ94" s="262"/>
      <c r="AK94" s="245">
        <f ca="1">IF(EB.Anwendung&lt;&gt;"",IF(MONTH(Monat.Tag1)=1,0,IF(MONTH(Monat.Tag1)=2,January!Monat.NBUeVM,IF(MONTH(Monat.Tag1)=3,February!Monat.NBUeVM,IF(MONTH(Monat.Tag1)=4,March!Monat.NBUeVM,IF(MONTH(Monat.Tag1)=5,April!Monat.NBUeVM,IF(MONTH(Monat.Tag1)=6,May!Monat.NBUeVM,IF(MONTH(Monat.Tag1)=7,June!Monat.NBUeVM,IF(MONTH(Monat.Tag1)=8,July!Monat.NBUeVM,IF(MONTH(Monat.Tag1)=9,August!Monat.NBUeVM,IF(MONTH(Monat.Tag1)=10,September!Monat.NBUeVM,IF(MONTH(Monat.Tag1)=11,October!Monat.NBUeVM,IF(MONTH(Monat.Tag1)=12,November!Monat.NBUeVM,"")))))))))))),"")</f>
        <v>0</v>
      </c>
      <c r="AL94" s="209"/>
      <c r="AM94" s="246">
        <f t="shared" ca="1" si="32"/>
        <v>0</v>
      </c>
      <c r="AN94" s="208"/>
      <c r="AO94" s="208"/>
      <c r="AP94" s="119"/>
    </row>
    <row r="95" spans="1:42" s="38" customFormat="1" ht="15" customHeight="1" collapsed="1" x14ac:dyDescent="0.2">
      <c r="A95" s="212" t="s">
        <v>56</v>
      </c>
      <c r="B95" s="40"/>
      <c r="C95" s="40"/>
      <c r="D95" s="40"/>
      <c r="E95" s="27"/>
      <c r="F95" s="40"/>
      <c r="G95" s="40"/>
      <c r="H95" s="40"/>
      <c r="I95" s="40"/>
      <c r="J95" s="27"/>
      <c r="K95" s="40"/>
      <c r="L95" s="27"/>
      <c r="M95" s="40"/>
      <c r="N95" s="40"/>
      <c r="O95" s="40"/>
      <c r="P95" s="40"/>
      <c r="Q95" s="27"/>
      <c r="R95" s="40"/>
      <c r="S95" s="27"/>
      <c r="T95" s="27"/>
      <c r="U95" s="40"/>
      <c r="V95" s="40"/>
      <c r="W95" s="40"/>
      <c r="X95" s="27"/>
      <c r="Y95" s="40"/>
      <c r="Z95" s="39"/>
      <c r="AA95" s="40"/>
      <c r="AB95" s="40"/>
      <c r="AC95" s="40"/>
      <c r="AD95" s="40"/>
      <c r="AE95" s="27"/>
      <c r="AF95" s="205" t="str">
        <f t="shared" si="30"/>
        <v>Seniority allowance</v>
      </c>
      <c r="AG95" s="218"/>
      <c r="AH95" s="238">
        <f t="shared" si="31"/>
        <v>0</v>
      </c>
      <c r="AI95" s="261"/>
      <c r="AJ95" s="262"/>
      <c r="AK95" s="245">
        <f ca="1">IF(EB.Anwendung&lt;&gt;"",IF(MONTH(Monat.Tag1)=1,EB.DAG,IF(MONTH(Monat.Tag1)=2,January!Monat.DAGUeVM,IF(MONTH(Monat.Tag1)=3,February!Monat.DAGUeVM,IF(MONTH(Monat.Tag1)=4,March!Monat.DAGUeVM,IF(MONTH(Monat.Tag1)=5,April!Monat.DAGUeVM,IF(MONTH(Monat.Tag1)=6,May!Monat.DAGUeVM,IF(MONTH(Monat.Tag1)=7,June!Monat.DAGUeVM,IF(MONTH(Monat.Tag1)=8,July!Monat.DAGUeVM,IF(MONTH(Monat.Tag1)=9,August!Monat.DAGUeVM,IF(MONTH(Monat.Tag1)=10,September!Monat.DAGUeVM,IF(MONTH(Monat.Tag1)=11,October!Monat.DAGUeVM,IF(MONTH(Monat.Tag1)=12,November!Monat.DAGUeVM,"")))))))))))),"")</f>
        <v>0</v>
      </c>
      <c r="AL95" s="209"/>
      <c r="AM95" s="246">
        <f ca="1">AK95-AH95</f>
        <v>0</v>
      </c>
      <c r="AN95" s="208"/>
      <c r="AO95" s="208"/>
      <c r="AP95" s="119"/>
    </row>
    <row r="96" spans="1:42" s="38" customFormat="1" ht="11.25" customHeight="1" x14ac:dyDescent="0.2">
      <c r="A96" s="220"/>
      <c r="B96" s="223"/>
      <c r="C96" s="223"/>
      <c r="D96" s="223"/>
      <c r="E96" s="223"/>
      <c r="F96" s="223"/>
      <c r="G96" s="223"/>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23"/>
      <c r="AF96" s="205"/>
      <c r="AG96" s="228"/>
      <c r="AH96" s="224"/>
      <c r="AI96" s="278"/>
      <c r="AJ96" s="262"/>
      <c r="AK96" s="262"/>
      <c r="AL96" s="209"/>
      <c r="AM96" s="279"/>
      <c r="AN96" s="213"/>
      <c r="AO96" s="213"/>
      <c r="AP96" s="119"/>
    </row>
    <row r="97" spans="1:42" s="38" customFormat="1" ht="15" customHeight="1" x14ac:dyDescent="0.2">
      <c r="A97" s="215" t="str">
        <f t="shared" ref="A97:A111" ca="1" si="33">IF(ROW(A97)-ROW(INDEX(Monat.Projekte.Zeilen,1))+1&gt;EB.AnzProjekte,"",OFFSET(EB.Projekte.Knoten,ROW(A97)-ROW(INDEX(Monat.Projekte.Zeilen,1))+1,0,1,1))</f>
        <v/>
      </c>
      <c r="B97" s="40"/>
      <c r="C97" s="40"/>
      <c r="D97" s="40"/>
      <c r="E97" s="27"/>
      <c r="F97" s="40"/>
      <c r="G97" s="40"/>
      <c r="H97" s="40"/>
      <c r="I97" s="40"/>
      <c r="J97" s="27"/>
      <c r="K97" s="40"/>
      <c r="L97" s="27"/>
      <c r="M97" s="40"/>
      <c r="N97" s="40"/>
      <c r="O97" s="40"/>
      <c r="P97" s="40"/>
      <c r="Q97" s="27"/>
      <c r="R97" s="40"/>
      <c r="S97" s="27"/>
      <c r="T97" s="27"/>
      <c r="U97" s="40"/>
      <c r="V97" s="40"/>
      <c r="W97" s="40"/>
      <c r="X97" s="27"/>
      <c r="Y97" s="40"/>
      <c r="Z97" s="39"/>
      <c r="AA97" s="40"/>
      <c r="AB97" s="40"/>
      <c r="AC97" s="40"/>
      <c r="AD97" s="40"/>
      <c r="AE97" s="27"/>
      <c r="AF97" s="205" t="str">
        <f t="shared" ref="AF97:AF112" ca="1" si="34">A97</f>
        <v/>
      </c>
      <c r="AG97" s="233"/>
      <c r="AH97" s="285">
        <f t="shared" ref="AH97:AH112" si="35">SUM(B97:AE97)</f>
        <v>0</v>
      </c>
      <c r="AI97" s="261"/>
      <c r="AJ97" s="224"/>
      <c r="AK97" s="245">
        <f ca="1">IF(EB.Anwendung&lt;&gt;"",IF(MONTH(Monat.Tag1)=1,0,IF(MONTH(Monat.Tag1)=2,January!Monat.P1UeVM,IF(MONTH(Monat.Tag1)=3,February!Monat.P1UeVM,IF(MONTH(Monat.Tag1)=4,March!Monat.P1UeVM,IF(MONTH(Monat.Tag1)=5,April!Monat.P1UeVM,IF(MONTH(Monat.Tag1)=6,May!Monat.P1UeVM,IF(MONTH(Monat.Tag1)=7,June!Monat.P1UeVM,IF(MONTH(Monat.Tag1)=8,July!Monat.P1UeVM,IF(MONTH(Monat.Tag1)=9,August!Monat.P1UeVM,IF(MONTH(Monat.Tag1)=10,September!Monat.P1UeVM,IF(MONTH(Monat.Tag1)=11,October!Monat.P1UeVM,IF(MONTH(Monat.Tag1)=12,November!Monat.P1UeVM,"")))))))))))),"")</f>
        <v>0</v>
      </c>
      <c r="AL97" s="209"/>
      <c r="AM97" s="246">
        <f t="shared" ref="AM97:AM112" ca="1" si="36">AH97+AK97</f>
        <v>0</v>
      </c>
      <c r="AN97" s="208"/>
      <c r="AO97" s="208"/>
      <c r="AP97" s="119"/>
    </row>
    <row r="98" spans="1:42" s="38" customFormat="1" ht="15" customHeight="1" x14ac:dyDescent="0.2">
      <c r="A98" s="215" t="str">
        <f t="shared" ca="1" si="33"/>
        <v/>
      </c>
      <c r="B98" s="40"/>
      <c r="C98" s="40"/>
      <c r="D98" s="40"/>
      <c r="E98" s="27"/>
      <c r="F98" s="40"/>
      <c r="G98" s="40"/>
      <c r="H98" s="40"/>
      <c r="I98" s="40"/>
      <c r="J98" s="27"/>
      <c r="K98" s="40"/>
      <c r="L98" s="27"/>
      <c r="M98" s="40"/>
      <c r="N98" s="40"/>
      <c r="O98" s="40"/>
      <c r="P98" s="40"/>
      <c r="Q98" s="27"/>
      <c r="R98" s="40"/>
      <c r="S98" s="27"/>
      <c r="T98" s="27"/>
      <c r="U98" s="40"/>
      <c r="V98" s="40"/>
      <c r="W98" s="40"/>
      <c r="X98" s="27"/>
      <c r="Y98" s="40"/>
      <c r="Z98" s="39"/>
      <c r="AA98" s="40"/>
      <c r="AB98" s="40"/>
      <c r="AC98" s="40"/>
      <c r="AD98" s="40"/>
      <c r="AE98" s="27"/>
      <c r="AF98" s="205" t="str">
        <f t="shared" ca="1" si="34"/>
        <v/>
      </c>
      <c r="AG98" s="218"/>
      <c r="AH98" s="238">
        <f t="shared" si="35"/>
        <v>0</v>
      </c>
      <c r="AI98" s="261"/>
      <c r="AJ98" s="224"/>
      <c r="AK98" s="245">
        <f ca="1">IF(EB.Anwendung&lt;&gt;"",IF(MONTH(Monat.Tag1)=1,0,IF(MONTH(Monat.Tag1)=2,January!Monat.P2UeVM,IF(MONTH(Monat.Tag1)=3,February!Monat.P2UeVM,IF(MONTH(Monat.Tag1)=4,March!Monat.P2UeVM,IF(MONTH(Monat.Tag1)=5,April!Monat.P2UeVM,IF(MONTH(Monat.Tag1)=6,May!Monat.P2UeVM,IF(MONTH(Monat.Tag1)=7,June!Monat.P2UeVM,IF(MONTH(Monat.Tag1)=8,July!Monat.P2UeVM,IF(MONTH(Monat.Tag1)=9,August!Monat.P2UeVM,IF(MONTH(Monat.Tag1)=10,September!Monat.P2UeVM,IF(MONTH(Monat.Tag1)=11,October!Monat.P2UeVM,IF(MONTH(Monat.Tag1)=12,November!Monat.P2UeVM,"")))))))))))),"")</f>
        <v>0</v>
      </c>
      <c r="AL98" s="209"/>
      <c r="AM98" s="246">
        <f t="shared" ca="1" si="36"/>
        <v>0</v>
      </c>
      <c r="AN98" s="208"/>
      <c r="AO98" s="208"/>
      <c r="AP98" s="119"/>
    </row>
    <row r="99" spans="1:42" s="38" customFormat="1" ht="15" customHeight="1" x14ac:dyDescent="0.2">
      <c r="A99" s="215" t="str">
        <f t="shared" ca="1" si="33"/>
        <v/>
      </c>
      <c r="B99" s="40"/>
      <c r="C99" s="40"/>
      <c r="D99" s="40"/>
      <c r="E99" s="27"/>
      <c r="F99" s="40"/>
      <c r="G99" s="40"/>
      <c r="H99" s="40"/>
      <c r="I99" s="40"/>
      <c r="J99" s="27"/>
      <c r="K99" s="40"/>
      <c r="L99" s="27"/>
      <c r="M99" s="40"/>
      <c r="N99" s="40"/>
      <c r="O99" s="40"/>
      <c r="P99" s="40"/>
      <c r="Q99" s="27"/>
      <c r="R99" s="40"/>
      <c r="S99" s="27"/>
      <c r="T99" s="27"/>
      <c r="U99" s="40"/>
      <c r="V99" s="40"/>
      <c r="W99" s="40"/>
      <c r="X99" s="27"/>
      <c r="Y99" s="40"/>
      <c r="Z99" s="39"/>
      <c r="AA99" s="40"/>
      <c r="AB99" s="40"/>
      <c r="AC99" s="40"/>
      <c r="AD99" s="40"/>
      <c r="AE99" s="27"/>
      <c r="AF99" s="205" t="str">
        <f t="shared" ca="1" si="34"/>
        <v/>
      </c>
      <c r="AG99" s="286"/>
      <c r="AH99" s="238">
        <f t="shared" si="35"/>
        <v>0</v>
      </c>
      <c r="AI99" s="261"/>
      <c r="AJ99" s="224"/>
      <c r="AK99" s="245">
        <f ca="1">IF(EB.Anwendung&lt;&gt;"",IF(MONTH(Monat.Tag1)=1,0,IF(MONTH(Monat.Tag1)=2,January!Monat.P3UeVM,IF(MONTH(Monat.Tag1)=3,February!Monat.P3UeVM,IF(MONTH(Monat.Tag1)=4,March!Monat.P3UeVM,IF(MONTH(Monat.Tag1)=5,April!Monat.P3UeVM,IF(MONTH(Monat.Tag1)=6,May!Monat.P3UeVM,IF(MONTH(Monat.Tag1)=7,June!Monat.P3UeVM,IF(MONTH(Monat.Tag1)=8,July!Monat.P3UeVM,IF(MONTH(Monat.Tag1)=9,August!Monat.P3UeVM,IF(MONTH(Monat.Tag1)=10,September!Monat.P3UeVM,IF(MONTH(Monat.Tag1)=11,October!Monat.P3UeVM,IF(MONTH(Monat.Tag1)=12,November!Monat.P3UeVM,"")))))))))))),"")</f>
        <v>0</v>
      </c>
      <c r="AL99" s="209"/>
      <c r="AM99" s="246">
        <f t="shared" ca="1" si="36"/>
        <v>0</v>
      </c>
      <c r="AN99" s="208"/>
      <c r="AO99" s="208"/>
      <c r="AP99" s="119"/>
    </row>
    <row r="100" spans="1:42" s="38" customFormat="1" ht="15" customHeight="1" x14ac:dyDescent="0.2">
      <c r="A100" s="215" t="str">
        <f t="shared" ca="1" si="33"/>
        <v/>
      </c>
      <c r="B100" s="40"/>
      <c r="C100" s="40"/>
      <c r="D100" s="40"/>
      <c r="E100" s="27"/>
      <c r="F100" s="40"/>
      <c r="G100" s="40"/>
      <c r="H100" s="40"/>
      <c r="I100" s="40"/>
      <c r="J100" s="27"/>
      <c r="K100" s="40"/>
      <c r="L100" s="27"/>
      <c r="M100" s="40"/>
      <c r="N100" s="40"/>
      <c r="O100" s="40"/>
      <c r="P100" s="40"/>
      <c r="Q100" s="27"/>
      <c r="R100" s="40"/>
      <c r="S100" s="27"/>
      <c r="T100" s="27"/>
      <c r="U100" s="40"/>
      <c r="V100" s="40"/>
      <c r="W100" s="40"/>
      <c r="X100" s="27"/>
      <c r="Y100" s="40"/>
      <c r="Z100" s="39"/>
      <c r="AA100" s="40"/>
      <c r="AB100" s="40"/>
      <c r="AC100" s="40"/>
      <c r="AD100" s="40"/>
      <c r="AE100" s="27"/>
      <c r="AF100" s="205" t="str">
        <f t="shared" ca="1" si="34"/>
        <v/>
      </c>
      <c r="AG100" s="228"/>
      <c r="AH100" s="238">
        <f t="shared" si="35"/>
        <v>0</v>
      </c>
      <c r="AI100" s="261"/>
      <c r="AJ100" s="224"/>
      <c r="AK100" s="245">
        <f ca="1">IF(EB.Anwendung&lt;&gt;"",IF(MONTH(Monat.Tag1)=1,0,IF(MONTH(Monat.Tag1)=2,January!Monat.P4UeVM,IF(MONTH(Monat.Tag1)=3,February!Monat.P4UeVM,IF(MONTH(Monat.Tag1)=4,March!Monat.P4UeVM,IF(MONTH(Monat.Tag1)=5,April!Monat.P4UeVM,IF(MONTH(Monat.Tag1)=6,May!Monat.P4UeVM,IF(MONTH(Monat.Tag1)=7,June!Monat.P4UeVM,IF(MONTH(Monat.Tag1)=8,July!Monat.P4UeVM,IF(MONTH(Monat.Tag1)=9,August!Monat.P4UeVM,IF(MONTH(Monat.Tag1)=10,September!Monat.P4UeVM,IF(MONTH(Monat.Tag1)=11,October!Monat.P4UeVM,IF(MONTH(Monat.Tag1)=12,November!Monat.P4UeVM,"")))))))))))),"")</f>
        <v>0</v>
      </c>
      <c r="AL100" s="209"/>
      <c r="AM100" s="246">
        <f t="shared" ca="1" si="36"/>
        <v>0</v>
      </c>
      <c r="AN100" s="208"/>
      <c r="AO100" s="208"/>
      <c r="AP100" s="119"/>
    </row>
    <row r="101" spans="1:42" s="38" customFormat="1" ht="15" customHeight="1" x14ac:dyDescent="0.2">
      <c r="A101" s="215" t="str">
        <f t="shared" ca="1" si="33"/>
        <v/>
      </c>
      <c r="B101" s="40"/>
      <c r="C101" s="40"/>
      <c r="D101" s="40"/>
      <c r="E101" s="27"/>
      <c r="F101" s="40"/>
      <c r="G101" s="40"/>
      <c r="H101" s="40"/>
      <c r="I101" s="40"/>
      <c r="J101" s="27"/>
      <c r="K101" s="40"/>
      <c r="L101" s="27"/>
      <c r="M101" s="40"/>
      <c r="N101" s="40"/>
      <c r="O101" s="40"/>
      <c r="P101" s="40"/>
      <c r="Q101" s="27"/>
      <c r="R101" s="40"/>
      <c r="S101" s="27"/>
      <c r="T101" s="27"/>
      <c r="U101" s="40"/>
      <c r="V101" s="40"/>
      <c r="W101" s="40"/>
      <c r="X101" s="27"/>
      <c r="Y101" s="40"/>
      <c r="Z101" s="39"/>
      <c r="AA101" s="40"/>
      <c r="AB101" s="40"/>
      <c r="AC101" s="40"/>
      <c r="AD101" s="40"/>
      <c r="AE101" s="27"/>
      <c r="AF101" s="205" t="str">
        <f t="shared" ca="1" si="34"/>
        <v/>
      </c>
      <c r="AG101" s="218"/>
      <c r="AH101" s="238">
        <f t="shared" si="35"/>
        <v>0</v>
      </c>
      <c r="AI101" s="261"/>
      <c r="AJ101" s="224"/>
      <c r="AK101" s="245">
        <f ca="1">IF(EB.Anwendung&lt;&gt;"",IF(MONTH(Monat.Tag1)=1,0,IF(MONTH(Monat.Tag1)=2,January!Monat.P5UeVM,IF(MONTH(Monat.Tag1)=3,February!Monat.P5UeVM,IF(MONTH(Monat.Tag1)=4,March!Monat.P5UeVM,IF(MONTH(Monat.Tag1)=5,April!Monat.P5UeVM,IF(MONTH(Monat.Tag1)=6,May!Monat.P5UeVM,IF(MONTH(Monat.Tag1)=7,June!Monat.P5UeVM,IF(MONTH(Monat.Tag1)=8,July!Monat.P5UeVM,IF(MONTH(Monat.Tag1)=9,August!Monat.P5UeVM,IF(MONTH(Monat.Tag1)=10,September!Monat.P5UeVM,IF(MONTH(Monat.Tag1)=11,October!Monat.P5UeVM,IF(MONTH(Monat.Tag1)=12,November!Monat.P5UeVM,"")))))))))))),"")</f>
        <v>0</v>
      </c>
      <c r="AL101" s="209"/>
      <c r="AM101" s="246">
        <f t="shared" ca="1" si="36"/>
        <v>0</v>
      </c>
      <c r="AN101" s="208"/>
      <c r="AO101" s="208"/>
      <c r="AP101" s="119"/>
    </row>
    <row r="102" spans="1:42" s="38" customFormat="1" ht="15" hidden="1" customHeight="1" outlineLevel="1" x14ac:dyDescent="0.2">
      <c r="A102" s="215" t="str">
        <f t="shared" ca="1" si="33"/>
        <v/>
      </c>
      <c r="B102" s="40"/>
      <c r="C102" s="40"/>
      <c r="D102" s="40"/>
      <c r="E102" s="27"/>
      <c r="F102" s="40"/>
      <c r="G102" s="40"/>
      <c r="H102" s="40"/>
      <c r="I102" s="40"/>
      <c r="J102" s="27"/>
      <c r="K102" s="40"/>
      <c r="L102" s="27"/>
      <c r="M102" s="40"/>
      <c r="N102" s="40"/>
      <c r="O102" s="40"/>
      <c r="P102" s="40"/>
      <c r="Q102" s="27"/>
      <c r="R102" s="40"/>
      <c r="S102" s="27"/>
      <c r="T102" s="27"/>
      <c r="U102" s="40"/>
      <c r="V102" s="40"/>
      <c r="W102" s="40"/>
      <c r="X102" s="27"/>
      <c r="Y102" s="40"/>
      <c r="Z102" s="39"/>
      <c r="AA102" s="40"/>
      <c r="AB102" s="40"/>
      <c r="AC102" s="40"/>
      <c r="AD102" s="40"/>
      <c r="AE102" s="27"/>
      <c r="AF102" s="205" t="str">
        <f t="shared" ca="1" si="34"/>
        <v/>
      </c>
      <c r="AG102" s="286"/>
      <c r="AH102" s="238">
        <f t="shared" si="35"/>
        <v>0</v>
      </c>
      <c r="AI102" s="261"/>
      <c r="AJ102" s="224"/>
      <c r="AK102" s="245">
        <f ca="1">IF(EB.Anwendung&lt;&gt;"",IF(MONTH(Monat.Tag1)=1,0,IF(MONTH(Monat.Tag1)=2,January!Monat.P6UeVM,IF(MONTH(Monat.Tag1)=3,February!Monat.P6UeVM,IF(MONTH(Monat.Tag1)=4,March!Monat.P6UeVM,IF(MONTH(Monat.Tag1)=5,April!Monat.P6UeVM,IF(MONTH(Monat.Tag1)=6,May!Monat.P6UeVM,IF(MONTH(Monat.Tag1)=7,June!Monat.P6UeVM,IF(MONTH(Monat.Tag1)=8,July!Monat.P6UeVM,IF(MONTH(Monat.Tag1)=9,August!Monat.P6UeVM,IF(MONTH(Monat.Tag1)=10,September!Monat.P6UeVM,IF(MONTH(Monat.Tag1)=11,October!Monat.P6UeVM,IF(MONTH(Monat.Tag1)=12,November!Monat.P6UeVM,"")))))))))))),"")</f>
        <v>0</v>
      </c>
      <c r="AL102" s="209"/>
      <c r="AM102" s="246">
        <f t="shared" ca="1" si="36"/>
        <v>0</v>
      </c>
      <c r="AN102" s="208"/>
      <c r="AO102" s="208"/>
      <c r="AP102" s="119"/>
    </row>
    <row r="103" spans="1:42" s="38" customFormat="1" ht="15" hidden="1" customHeight="1" outlineLevel="1" x14ac:dyDescent="0.2">
      <c r="A103" s="215" t="str">
        <f t="shared" ca="1" si="33"/>
        <v/>
      </c>
      <c r="B103" s="40"/>
      <c r="C103" s="40"/>
      <c r="D103" s="40"/>
      <c r="E103" s="27"/>
      <c r="F103" s="40"/>
      <c r="G103" s="40"/>
      <c r="H103" s="40"/>
      <c r="I103" s="40"/>
      <c r="J103" s="27"/>
      <c r="K103" s="40"/>
      <c r="L103" s="27"/>
      <c r="M103" s="40"/>
      <c r="N103" s="40"/>
      <c r="O103" s="40"/>
      <c r="P103" s="40"/>
      <c r="Q103" s="27"/>
      <c r="R103" s="40"/>
      <c r="S103" s="27"/>
      <c r="T103" s="27"/>
      <c r="U103" s="40"/>
      <c r="V103" s="40"/>
      <c r="W103" s="40"/>
      <c r="X103" s="27"/>
      <c r="Y103" s="40"/>
      <c r="Z103" s="39"/>
      <c r="AA103" s="40"/>
      <c r="AB103" s="40"/>
      <c r="AC103" s="40"/>
      <c r="AD103" s="40"/>
      <c r="AE103" s="27"/>
      <c r="AF103" s="205" t="str">
        <f t="shared" ca="1" si="34"/>
        <v/>
      </c>
      <c r="AG103" s="228"/>
      <c r="AH103" s="238">
        <f t="shared" si="35"/>
        <v>0</v>
      </c>
      <c r="AI103" s="261"/>
      <c r="AJ103" s="224"/>
      <c r="AK103" s="245">
        <f ca="1">IF(EB.Anwendung&lt;&gt;"",IF(MONTH(Monat.Tag1)=1,0,IF(MONTH(Monat.Tag1)=2,January!Monat.P7UeVM,IF(MONTH(Monat.Tag1)=3,February!Monat.P7UeVM,IF(MONTH(Monat.Tag1)=4,March!Monat.P7UeVM,IF(MONTH(Monat.Tag1)=5,April!Monat.P7UeVM,IF(MONTH(Monat.Tag1)=6,May!Monat.P7UeVM,IF(MONTH(Monat.Tag1)=7,June!Monat.P7UeVM,IF(MONTH(Monat.Tag1)=8,July!Monat.P7UeVM,IF(MONTH(Monat.Tag1)=9,August!Monat.P7UeVM,IF(MONTH(Monat.Tag1)=10,September!Monat.P7UeVM,IF(MONTH(Monat.Tag1)=11,October!Monat.P7UeVM,IF(MONTH(Monat.Tag1)=12,November!Monat.P7UeVM,"")))))))))))),"")</f>
        <v>0</v>
      </c>
      <c r="AL103" s="209"/>
      <c r="AM103" s="246">
        <f t="shared" ca="1" si="36"/>
        <v>0</v>
      </c>
      <c r="AN103" s="208"/>
      <c r="AO103" s="208"/>
      <c r="AP103" s="119"/>
    </row>
    <row r="104" spans="1:42" s="38" customFormat="1" ht="15" hidden="1" customHeight="1" outlineLevel="1" x14ac:dyDescent="0.2">
      <c r="A104" s="215" t="str">
        <f t="shared" ca="1" si="33"/>
        <v/>
      </c>
      <c r="B104" s="40"/>
      <c r="C104" s="40"/>
      <c r="D104" s="40"/>
      <c r="E104" s="27"/>
      <c r="F104" s="40"/>
      <c r="G104" s="40"/>
      <c r="H104" s="40"/>
      <c r="I104" s="40"/>
      <c r="J104" s="27"/>
      <c r="K104" s="40"/>
      <c r="L104" s="27"/>
      <c r="M104" s="40"/>
      <c r="N104" s="40"/>
      <c r="O104" s="40"/>
      <c r="P104" s="40"/>
      <c r="Q104" s="27"/>
      <c r="R104" s="40"/>
      <c r="S104" s="27"/>
      <c r="T104" s="27"/>
      <c r="U104" s="40"/>
      <c r="V104" s="40"/>
      <c r="W104" s="40"/>
      <c r="X104" s="27"/>
      <c r="Y104" s="40"/>
      <c r="Z104" s="39"/>
      <c r="AA104" s="40"/>
      <c r="AB104" s="40"/>
      <c r="AC104" s="40"/>
      <c r="AD104" s="40"/>
      <c r="AE104" s="27"/>
      <c r="AF104" s="205" t="str">
        <f t="shared" ca="1" si="34"/>
        <v/>
      </c>
      <c r="AG104" s="233"/>
      <c r="AH104" s="238">
        <f t="shared" si="35"/>
        <v>0</v>
      </c>
      <c r="AI104" s="261"/>
      <c r="AJ104" s="224"/>
      <c r="AK104" s="245">
        <f ca="1">IF(EB.Anwendung&lt;&gt;"",IF(MONTH(Monat.Tag1)=1,0,IF(MONTH(Monat.Tag1)=2,January!Monat.P8UeVM,IF(MONTH(Monat.Tag1)=3,February!Monat.P8UeVM,IF(MONTH(Monat.Tag1)=4,March!Monat.P8UeVM,IF(MONTH(Monat.Tag1)=5,April!Monat.P8UeVM,IF(MONTH(Monat.Tag1)=6,May!Monat.P8UeVM,IF(MONTH(Monat.Tag1)=7,June!Monat.P8UeVM,IF(MONTH(Monat.Tag1)=8,July!Monat.P8UeVM,IF(MONTH(Monat.Tag1)=9,August!Monat.P8UeVM,IF(MONTH(Monat.Tag1)=10,September!Monat.P8UeVM,IF(MONTH(Monat.Tag1)=11,October!Monat.P8UeVM,IF(MONTH(Monat.Tag1)=12,November!Monat.P8UeVM,"")))))))))))),"")</f>
        <v>0</v>
      </c>
      <c r="AL104" s="209"/>
      <c r="AM104" s="246">
        <f t="shared" ca="1" si="36"/>
        <v>0</v>
      </c>
      <c r="AN104" s="208"/>
      <c r="AO104" s="208"/>
      <c r="AP104" s="119"/>
    </row>
    <row r="105" spans="1:42" s="38" customFormat="1" ht="15" hidden="1" customHeight="1" outlineLevel="1" x14ac:dyDescent="0.2">
      <c r="A105" s="215" t="str">
        <f t="shared" ca="1" si="33"/>
        <v/>
      </c>
      <c r="B105" s="40"/>
      <c r="C105" s="40"/>
      <c r="D105" s="40"/>
      <c r="E105" s="27"/>
      <c r="F105" s="40"/>
      <c r="G105" s="40"/>
      <c r="H105" s="40"/>
      <c r="I105" s="40"/>
      <c r="J105" s="27"/>
      <c r="K105" s="40"/>
      <c r="L105" s="27"/>
      <c r="M105" s="40"/>
      <c r="N105" s="40"/>
      <c r="O105" s="40"/>
      <c r="P105" s="40"/>
      <c r="Q105" s="27"/>
      <c r="R105" s="40"/>
      <c r="S105" s="27"/>
      <c r="T105" s="27"/>
      <c r="U105" s="40"/>
      <c r="V105" s="40"/>
      <c r="W105" s="40"/>
      <c r="X105" s="27"/>
      <c r="Y105" s="40"/>
      <c r="Z105" s="39"/>
      <c r="AA105" s="40"/>
      <c r="AB105" s="40"/>
      <c r="AC105" s="40"/>
      <c r="AD105" s="40"/>
      <c r="AE105" s="27"/>
      <c r="AF105" s="205" t="str">
        <f t="shared" ca="1" si="34"/>
        <v/>
      </c>
      <c r="AG105" s="218"/>
      <c r="AH105" s="238">
        <f t="shared" si="35"/>
        <v>0</v>
      </c>
      <c r="AI105" s="261"/>
      <c r="AJ105" s="224"/>
      <c r="AK105" s="245">
        <f ca="1">IF(EB.Anwendung&lt;&gt;"",IF(MONTH(Monat.Tag1)=1,0,IF(MONTH(Monat.Tag1)=2,January!Monat.P9UeVM,IF(MONTH(Monat.Tag1)=3,February!Monat.P9UeVM,IF(MONTH(Monat.Tag1)=4,March!Monat.P9UeVM,IF(MONTH(Monat.Tag1)=5,April!Monat.P9UeVM,IF(MONTH(Monat.Tag1)=6,May!Monat.P9UeVM,IF(MONTH(Monat.Tag1)=7,June!Monat.P9UeVM,IF(MONTH(Monat.Tag1)=8,July!Monat.P9UeVM,IF(MONTH(Monat.Tag1)=9,August!Monat.P9UeVM,IF(MONTH(Monat.Tag1)=10,September!Monat.P9UeVM,IF(MONTH(Monat.Tag1)=11,October!Monat.P9UeVM,IF(MONTH(Monat.Tag1)=12,November!Monat.P9UeVM,"")))))))))))),"")</f>
        <v>0</v>
      </c>
      <c r="AL105" s="209"/>
      <c r="AM105" s="246">
        <f t="shared" ca="1" si="36"/>
        <v>0</v>
      </c>
      <c r="AN105" s="208"/>
      <c r="AO105" s="208"/>
      <c r="AP105" s="119"/>
    </row>
    <row r="106" spans="1:42" s="38" customFormat="1" ht="15" hidden="1" customHeight="1" outlineLevel="1" x14ac:dyDescent="0.2">
      <c r="A106" s="215" t="str">
        <f t="shared" ca="1" si="33"/>
        <v/>
      </c>
      <c r="B106" s="40"/>
      <c r="C106" s="40"/>
      <c r="D106" s="40"/>
      <c r="E106" s="27"/>
      <c r="F106" s="40"/>
      <c r="G106" s="40"/>
      <c r="H106" s="40"/>
      <c r="I106" s="40"/>
      <c r="J106" s="27"/>
      <c r="K106" s="40"/>
      <c r="L106" s="27"/>
      <c r="M106" s="40"/>
      <c r="N106" s="40"/>
      <c r="O106" s="40"/>
      <c r="P106" s="40"/>
      <c r="Q106" s="27"/>
      <c r="R106" s="40"/>
      <c r="S106" s="27"/>
      <c r="T106" s="27"/>
      <c r="U106" s="40"/>
      <c r="V106" s="40"/>
      <c r="W106" s="40"/>
      <c r="X106" s="27"/>
      <c r="Y106" s="40"/>
      <c r="Z106" s="39"/>
      <c r="AA106" s="40"/>
      <c r="AB106" s="40"/>
      <c r="AC106" s="40"/>
      <c r="AD106" s="40"/>
      <c r="AE106" s="27"/>
      <c r="AF106" s="205" t="str">
        <f t="shared" ca="1" si="34"/>
        <v/>
      </c>
      <c r="AG106" s="218"/>
      <c r="AH106" s="238">
        <f t="shared" si="35"/>
        <v>0</v>
      </c>
      <c r="AI106" s="261"/>
      <c r="AJ106" s="224"/>
      <c r="AK106" s="245">
        <f ca="1">IF(EB.Anwendung&lt;&gt;"",IF(MONTH(Monat.Tag1)=1,0,IF(MONTH(Monat.Tag1)=2,January!Monat.P10UeVM,IF(MONTH(Monat.Tag1)=3,February!Monat.P10UeVM,IF(MONTH(Monat.Tag1)=4,March!Monat.P10UeVM,IF(MONTH(Monat.Tag1)=5,April!Monat.P10UeVM,IF(MONTH(Monat.Tag1)=6,May!Monat.P10UeVM,IF(MONTH(Monat.Tag1)=7,June!Monat.P10UeVM,IF(MONTH(Monat.Tag1)=8,July!Monat.P10UeVM,IF(MONTH(Monat.Tag1)=9,August!Monat.P10UeVM,IF(MONTH(Monat.Tag1)=10,September!Monat.P10UeVM,IF(MONTH(Monat.Tag1)=11,October!Monat.P10UeVM,IF(MONTH(Monat.Tag1)=12,November!Monat.P10UeVM,"")))))))))))),"")</f>
        <v>0</v>
      </c>
      <c r="AL106" s="209"/>
      <c r="AM106" s="246">
        <f t="shared" ca="1" si="36"/>
        <v>0</v>
      </c>
      <c r="AN106" s="208"/>
      <c r="AO106" s="208"/>
      <c r="AP106" s="119"/>
    </row>
    <row r="107" spans="1:42" s="38" customFormat="1" ht="15" hidden="1" customHeight="1" outlineLevel="1" x14ac:dyDescent="0.2">
      <c r="A107" s="215" t="str">
        <f t="shared" ca="1" si="33"/>
        <v/>
      </c>
      <c r="B107" s="40"/>
      <c r="C107" s="40"/>
      <c r="D107" s="40"/>
      <c r="E107" s="27"/>
      <c r="F107" s="40"/>
      <c r="G107" s="40"/>
      <c r="H107" s="40"/>
      <c r="I107" s="40"/>
      <c r="J107" s="27"/>
      <c r="K107" s="40"/>
      <c r="L107" s="27"/>
      <c r="M107" s="40"/>
      <c r="N107" s="40"/>
      <c r="O107" s="40"/>
      <c r="P107" s="40"/>
      <c r="Q107" s="27"/>
      <c r="R107" s="40"/>
      <c r="S107" s="27"/>
      <c r="T107" s="27"/>
      <c r="U107" s="40"/>
      <c r="V107" s="40"/>
      <c r="W107" s="40"/>
      <c r="X107" s="27"/>
      <c r="Y107" s="40"/>
      <c r="Z107" s="39"/>
      <c r="AA107" s="40"/>
      <c r="AB107" s="40"/>
      <c r="AC107" s="40"/>
      <c r="AD107" s="40"/>
      <c r="AE107" s="27"/>
      <c r="AF107" s="205" t="str">
        <f t="shared" ca="1" si="34"/>
        <v/>
      </c>
      <c r="AG107" s="233"/>
      <c r="AH107" s="238">
        <f t="shared" si="35"/>
        <v>0</v>
      </c>
      <c r="AI107" s="261"/>
      <c r="AJ107" s="224"/>
      <c r="AK107" s="245">
        <f ca="1">IF(EB.Anwendung&lt;&gt;"",IF(MONTH(Monat.Tag1)=1,0,IF(MONTH(Monat.Tag1)=2,January!Monat.P11UeVM,IF(MONTH(Monat.Tag1)=3,February!Monat.P11UeVM,IF(MONTH(Monat.Tag1)=4,March!Monat.P11UeVM,IF(MONTH(Monat.Tag1)=5,April!Monat.P11UeVM,IF(MONTH(Monat.Tag1)=6,May!Monat.P11UeVM,IF(MONTH(Monat.Tag1)=7,June!Monat.P11UeVM,IF(MONTH(Monat.Tag1)=8,July!Monat.P11UeVM,IF(MONTH(Monat.Tag1)=9,August!Monat.P11UeVM,IF(MONTH(Monat.Tag1)=10,September!Monat.P11UeVM,IF(MONTH(Monat.Tag1)=11,October!Monat.P11UeVM,IF(MONTH(Monat.Tag1)=12,November!Monat.P11UeVM,"")))))))))))),"")</f>
        <v>0</v>
      </c>
      <c r="AL107" s="209"/>
      <c r="AM107" s="246">
        <f t="shared" ca="1" si="36"/>
        <v>0</v>
      </c>
      <c r="AN107" s="287"/>
      <c r="AO107" s="287"/>
      <c r="AP107" s="119"/>
    </row>
    <row r="108" spans="1:42" s="49" customFormat="1" ht="15" hidden="1" customHeight="1" outlineLevel="1" x14ac:dyDescent="0.2">
      <c r="A108" s="215" t="str">
        <f t="shared" ca="1" si="33"/>
        <v/>
      </c>
      <c r="B108" s="40"/>
      <c r="C108" s="40"/>
      <c r="D108" s="40"/>
      <c r="E108" s="27"/>
      <c r="F108" s="40"/>
      <c r="G108" s="40"/>
      <c r="H108" s="40"/>
      <c r="I108" s="40"/>
      <c r="J108" s="27"/>
      <c r="K108" s="40"/>
      <c r="L108" s="27"/>
      <c r="M108" s="40"/>
      <c r="N108" s="40"/>
      <c r="O108" s="40"/>
      <c r="P108" s="40"/>
      <c r="Q108" s="27"/>
      <c r="R108" s="40"/>
      <c r="S108" s="27"/>
      <c r="T108" s="27"/>
      <c r="U108" s="40"/>
      <c r="V108" s="40"/>
      <c r="W108" s="40"/>
      <c r="X108" s="27"/>
      <c r="Y108" s="40"/>
      <c r="Z108" s="39"/>
      <c r="AA108" s="40"/>
      <c r="AB108" s="40"/>
      <c r="AC108" s="40"/>
      <c r="AD108" s="40"/>
      <c r="AE108" s="27"/>
      <c r="AF108" s="205" t="str">
        <f t="shared" ca="1" si="34"/>
        <v/>
      </c>
      <c r="AG108" s="233"/>
      <c r="AH108" s="238">
        <f t="shared" si="35"/>
        <v>0</v>
      </c>
      <c r="AI108" s="261"/>
      <c r="AJ108" s="224"/>
      <c r="AK108" s="245">
        <f ca="1">IF(EB.Anwendung&lt;&gt;"",IF(MONTH(Monat.Tag1)=1,0,IF(MONTH(Monat.Tag1)=2,January!Monat.P12UeVM,IF(MONTH(Monat.Tag1)=3,February!Monat.P12UeVM,IF(MONTH(Monat.Tag1)=4,March!Monat.P12UeVM,IF(MONTH(Monat.Tag1)=5,April!Monat.P12UeVM,IF(MONTH(Monat.Tag1)=6,May!Monat.P12UeVM,IF(MONTH(Monat.Tag1)=7,June!Monat.P12UeVM,IF(MONTH(Monat.Tag1)=8,July!Monat.P12UeVM,IF(MONTH(Monat.Tag1)=9,August!Monat.P12UeVM,IF(MONTH(Monat.Tag1)=10,September!Monat.P12UeVM,IF(MONTH(Monat.Tag1)=11,October!Monat.P12UeVM,IF(MONTH(Monat.Tag1)=12,November!Monat.P12UeVM,"")))))))))))),"")</f>
        <v>0</v>
      </c>
      <c r="AL108" s="209"/>
      <c r="AM108" s="246">
        <f t="shared" ca="1" si="36"/>
        <v>0</v>
      </c>
      <c r="AN108" s="287"/>
      <c r="AO108" s="287"/>
      <c r="AP108" s="288"/>
    </row>
    <row r="109" spans="1:42" s="49" customFormat="1" ht="15" hidden="1" customHeight="1" outlineLevel="1" x14ac:dyDescent="0.2">
      <c r="A109" s="215" t="str">
        <f t="shared" ca="1" si="33"/>
        <v/>
      </c>
      <c r="B109" s="40"/>
      <c r="C109" s="40"/>
      <c r="D109" s="40"/>
      <c r="E109" s="27"/>
      <c r="F109" s="40"/>
      <c r="G109" s="40"/>
      <c r="H109" s="40"/>
      <c r="I109" s="40"/>
      <c r="J109" s="27"/>
      <c r="K109" s="40"/>
      <c r="L109" s="27"/>
      <c r="M109" s="40"/>
      <c r="N109" s="40"/>
      <c r="O109" s="40"/>
      <c r="P109" s="40"/>
      <c r="Q109" s="27"/>
      <c r="R109" s="40"/>
      <c r="S109" s="27"/>
      <c r="T109" s="27"/>
      <c r="U109" s="40"/>
      <c r="V109" s="40"/>
      <c r="W109" s="40"/>
      <c r="X109" s="27"/>
      <c r="Y109" s="40"/>
      <c r="Z109" s="39"/>
      <c r="AA109" s="40"/>
      <c r="AB109" s="40"/>
      <c r="AC109" s="40"/>
      <c r="AD109" s="40"/>
      <c r="AE109" s="27"/>
      <c r="AF109" s="205" t="str">
        <f t="shared" ca="1" si="34"/>
        <v/>
      </c>
      <c r="AG109" s="218"/>
      <c r="AH109" s="238">
        <f t="shared" si="35"/>
        <v>0</v>
      </c>
      <c r="AI109" s="261"/>
      <c r="AJ109" s="224"/>
      <c r="AK109" s="245">
        <f ca="1">IF(EB.Anwendung&lt;&gt;"",IF(MONTH(Monat.Tag1)=1,0,IF(MONTH(Monat.Tag1)=2,January!Monat.P13UeVM,IF(MONTH(Monat.Tag1)=3,February!Monat.P13UeVM,IF(MONTH(Monat.Tag1)=4,March!Monat.P13UeVM,IF(MONTH(Monat.Tag1)=5,April!Monat.P13UeVM,IF(MONTH(Monat.Tag1)=6,May!Monat.P13UeVM,IF(MONTH(Monat.Tag1)=7,June!Monat.P13UeVM,IF(MONTH(Monat.Tag1)=8,July!Monat.P13UeVM,IF(MONTH(Monat.Tag1)=9,August!Monat.P13UeVM,IF(MONTH(Monat.Tag1)=10,September!Monat.P13UeVM,IF(MONTH(Monat.Tag1)=11,October!Monat.P13UeVM,IF(MONTH(Monat.Tag1)=12,November!Monat.P13UeVM,"")))))))))))),"")</f>
        <v>0</v>
      </c>
      <c r="AL109" s="209"/>
      <c r="AM109" s="246">
        <f t="shared" ca="1" si="36"/>
        <v>0</v>
      </c>
      <c r="AN109" s="287"/>
      <c r="AO109" s="287"/>
      <c r="AP109" s="288"/>
    </row>
    <row r="110" spans="1:42" ht="15" hidden="1" customHeight="1" outlineLevel="1" x14ac:dyDescent="0.2">
      <c r="A110" s="215" t="str">
        <f t="shared" ca="1" si="33"/>
        <v/>
      </c>
      <c r="B110" s="40"/>
      <c r="C110" s="40"/>
      <c r="D110" s="40"/>
      <c r="E110" s="27"/>
      <c r="F110" s="40"/>
      <c r="G110" s="40"/>
      <c r="H110" s="40"/>
      <c r="I110" s="40"/>
      <c r="J110" s="27"/>
      <c r="K110" s="40"/>
      <c r="L110" s="27"/>
      <c r="M110" s="40"/>
      <c r="N110" s="40"/>
      <c r="O110" s="40"/>
      <c r="P110" s="40"/>
      <c r="Q110" s="27"/>
      <c r="R110" s="40"/>
      <c r="S110" s="27"/>
      <c r="T110" s="27"/>
      <c r="U110" s="40"/>
      <c r="V110" s="40"/>
      <c r="W110" s="40"/>
      <c r="X110" s="27"/>
      <c r="Y110" s="40"/>
      <c r="Z110" s="39"/>
      <c r="AA110" s="40"/>
      <c r="AB110" s="40"/>
      <c r="AC110" s="40"/>
      <c r="AD110" s="40"/>
      <c r="AE110" s="27"/>
      <c r="AF110" s="205" t="str">
        <f t="shared" ca="1" si="34"/>
        <v/>
      </c>
      <c r="AG110" s="218"/>
      <c r="AH110" s="238">
        <f t="shared" si="35"/>
        <v>0</v>
      </c>
      <c r="AI110" s="261"/>
      <c r="AJ110" s="224"/>
      <c r="AK110" s="245">
        <f ca="1">IF(EB.Anwendung&lt;&gt;"",IF(MONTH(Monat.Tag1)=1,0,IF(MONTH(Monat.Tag1)=2,January!Monat.P14UeVM,IF(MONTH(Monat.Tag1)=3,February!Monat.P14UeVM,IF(MONTH(Monat.Tag1)=4,March!Monat.P14UeVM,IF(MONTH(Monat.Tag1)=5,April!Monat.P14UeVM,IF(MONTH(Monat.Tag1)=6,May!Monat.P14UeVM,IF(MONTH(Monat.Tag1)=7,June!Monat.P14UeVM,IF(MONTH(Monat.Tag1)=8,July!Monat.P14UeVM,IF(MONTH(Monat.Tag1)=9,August!Monat.P14UeVM,IF(MONTH(Monat.Tag1)=10,September!Monat.P14UeVM,IF(MONTH(Monat.Tag1)=11,October!Monat.P14UeVM,IF(MONTH(Monat.Tag1)=12,November!Monat.P14UeVM,"")))))))))))),"")</f>
        <v>0</v>
      </c>
      <c r="AL110" s="209"/>
      <c r="AM110" s="246">
        <f t="shared" ca="1" si="36"/>
        <v>0</v>
      </c>
      <c r="AN110" s="287"/>
      <c r="AO110" s="287"/>
      <c r="AP110" s="123"/>
    </row>
    <row r="111" spans="1:42" ht="15" hidden="1" customHeight="1" outlineLevel="1" x14ac:dyDescent="0.2">
      <c r="A111" s="215" t="str">
        <f t="shared" ca="1" si="33"/>
        <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7"/>
      <c r="AA111" s="40"/>
      <c r="AB111" s="40"/>
      <c r="AC111" s="40"/>
      <c r="AD111" s="40"/>
      <c r="AE111" s="40"/>
      <c r="AF111" s="205" t="str">
        <f t="shared" ca="1" si="34"/>
        <v/>
      </c>
      <c r="AG111" s="218"/>
      <c r="AH111" s="238">
        <f t="shared" si="35"/>
        <v>0</v>
      </c>
      <c r="AI111" s="261"/>
      <c r="AJ111" s="224"/>
      <c r="AK111" s="245">
        <f ca="1">IF(EB.Anwendung&lt;&gt;"",IF(MONTH(Monat.Tag1)=1,0,IF(MONTH(Monat.Tag1)=2,January!Monat.P15UeVM,IF(MONTH(Monat.Tag1)=3,February!Monat.P15UeVM,IF(MONTH(Monat.Tag1)=4,March!Monat.P15UeVM,IF(MONTH(Monat.Tag1)=5,April!Monat.P15UeVM,IF(MONTH(Monat.Tag1)=6,May!Monat.P15UeVM,IF(MONTH(Monat.Tag1)=7,June!Monat.P15UeVM,IF(MONTH(Monat.Tag1)=8,July!Monat.P15UeVM,IF(MONTH(Monat.Tag1)=9,August!Monat.P15UeVM,IF(MONTH(Monat.Tag1)=10,September!Monat.P15UeVM,IF(MONTH(Monat.Tag1)=11,October!Monat.P15UeVM,IF(MONTH(Monat.Tag1)=12,November!Monat.P15UeVM,"")))))))))))),"")</f>
        <v>0</v>
      </c>
      <c r="AL111" s="209"/>
      <c r="AM111" s="246">
        <f t="shared" ca="1" si="36"/>
        <v>0</v>
      </c>
      <c r="AN111" s="287"/>
      <c r="AO111" s="287"/>
      <c r="AP111" s="123"/>
    </row>
    <row r="112" spans="1:42" ht="15" customHeight="1" collapsed="1" x14ac:dyDescent="0.2">
      <c r="A112" s="215" t="s">
        <v>168</v>
      </c>
      <c r="B112" s="236">
        <f>SUM(B97:B111)</f>
        <v>0</v>
      </c>
      <c r="C112" s="236">
        <f t="shared" ref="C112:AE112" si="37">SUM(C97:C111)</f>
        <v>0</v>
      </c>
      <c r="D112" s="236">
        <f t="shared" si="37"/>
        <v>0</v>
      </c>
      <c r="E112" s="236">
        <f t="shared" si="37"/>
        <v>0</v>
      </c>
      <c r="F112" s="236">
        <f t="shared" si="37"/>
        <v>0</v>
      </c>
      <c r="G112" s="236">
        <f t="shared" si="37"/>
        <v>0</v>
      </c>
      <c r="H112" s="236">
        <f t="shared" si="37"/>
        <v>0</v>
      </c>
      <c r="I112" s="236">
        <f t="shared" si="37"/>
        <v>0</v>
      </c>
      <c r="J112" s="236">
        <f t="shared" si="37"/>
        <v>0</v>
      </c>
      <c r="K112" s="236">
        <f t="shared" si="37"/>
        <v>0</v>
      </c>
      <c r="L112" s="236">
        <f t="shared" si="37"/>
        <v>0</v>
      </c>
      <c r="M112" s="236">
        <f t="shared" si="37"/>
        <v>0</v>
      </c>
      <c r="N112" s="236">
        <f t="shared" si="37"/>
        <v>0</v>
      </c>
      <c r="O112" s="236">
        <f t="shared" si="37"/>
        <v>0</v>
      </c>
      <c r="P112" s="236">
        <f t="shared" si="37"/>
        <v>0</v>
      </c>
      <c r="Q112" s="236">
        <f t="shared" si="37"/>
        <v>0</v>
      </c>
      <c r="R112" s="236">
        <f t="shared" si="37"/>
        <v>0</v>
      </c>
      <c r="S112" s="236">
        <f t="shared" si="37"/>
        <v>0</v>
      </c>
      <c r="T112" s="236">
        <f t="shared" si="37"/>
        <v>0</v>
      </c>
      <c r="U112" s="236">
        <f t="shared" si="37"/>
        <v>0</v>
      </c>
      <c r="V112" s="236">
        <f t="shared" si="37"/>
        <v>0</v>
      </c>
      <c r="W112" s="236">
        <f t="shared" si="37"/>
        <v>0</v>
      </c>
      <c r="X112" s="236">
        <f t="shared" si="37"/>
        <v>0</v>
      </c>
      <c r="Y112" s="236">
        <f t="shared" si="37"/>
        <v>0</v>
      </c>
      <c r="Z112" s="236">
        <f t="shared" si="37"/>
        <v>0</v>
      </c>
      <c r="AA112" s="236">
        <f t="shared" si="37"/>
        <v>0</v>
      </c>
      <c r="AB112" s="236">
        <f t="shared" si="37"/>
        <v>0</v>
      </c>
      <c r="AC112" s="236">
        <f t="shared" si="37"/>
        <v>0</v>
      </c>
      <c r="AD112" s="236">
        <f t="shared" si="37"/>
        <v>0</v>
      </c>
      <c r="AE112" s="236">
        <f t="shared" si="37"/>
        <v>0</v>
      </c>
      <c r="AF112" s="217" t="str">
        <f t="shared" si="34"/>
        <v>Hours worked for projects</v>
      </c>
      <c r="AG112" s="218"/>
      <c r="AH112" s="238">
        <f t="shared" si="35"/>
        <v>0</v>
      </c>
      <c r="AI112" s="261"/>
      <c r="AJ112" s="224"/>
      <c r="AK112" s="245">
        <f ca="1">IF(EB.Anwendung&lt;&gt;"",IF(MONTH(Monat.Tag1)=1,0,IF(MONTH(Monat.Tag1)=2,January!Monat.PTotalUeVM,IF(MONTH(Monat.Tag1)=3,February!Monat.PTotalUeVM,IF(MONTH(Monat.Tag1)=4,March!Monat.PTotalUeVM,IF(MONTH(Monat.Tag1)=5,April!Monat.PTotalUeVM,IF(MONTH(Monat.Tag1)=6,May!Monat.PTotalUeVM,IF(MONTH(Monat.Tag1)=7,June!Monat.PTotalUeVM,IF(MONTH(Monat.Tag1)=8,July!Monat.PTotalUeVM,IF(MONTH(Monat.Tag1)=9,August!Monat.PTotalUeVM,IF(MONTH(Monat.Tag1)=10,September!Monat.PTotalUeVM,IF(MONTH(Monat.Tag1)=11,October!Monat.PTotalUeVM,IF(MONTH(Monat.Tag1)=12,November!Monat.PTotalUeVM,"")))))))))))),"")</f>
        <v>0</v>
      </c>
      <c r="AL112" s="209"/>
      <c r="AM112" s="246">
        <f t="shared" ca="1" si="36"/>
        <v>0</v>
      </c>
      <c r="AN112" s="289"/>
      <c r="AO112" s="289"/>
      <c r="AP112" s="123"/>
    </row>
    <row r="113" spans="1:42" s="38" customFormat="1" ht="11.25" customHeight="1" x14ac:dyDescent="0.2">
      <c r="A113" s="290"/>
      <c r="B113" s="226"/>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91"/>
      <c r="AG113" s="286"/>
      <c r="AH113" s="226"/>
      <c r="AI113" s="292"/>
      <c r="AJ113" s="226"/>
      <c r="AK113" s="226"/>
      <c r="AL113" s="226"/>
      <c r="AM113" s="130"/>
      <c r="AN113" s="226"/>
      <c r="AO113" s="226"/>
      <c r="AP113" s="119"/>
    </row>
    <row r="114" spans="1:42" s="38" customFormat="1" ht="15" hidden="1" customHeight="1" outlineLevel="1" x14ac:dyDescent="0.2">
      <c r="A114" s="215" t="s">
        <v>225</v>
      </c>
      <c r="B114" s="241">
        <f t="shared" ref="B114:AE114" si="38">ROUND(((B23+B45+B91)-SUMPRODUCT((B97:B111)*(EB.Projektart.Bereich=6)))*1440,0)/1440</f>
        <v>0</v>
      </c>
      <c r="C114" s="241">
        <f t="shared" si="38"/>
        <v>0</v>
      </c>
      <c r="D114" s="241">
        <f t="shared" si="38"/>
        <v>0</v>
      </c>
      <c r="E114" s="241">
        <f t="shared" si="38"/>
        <v>0</v>
      </c>
      <c r="F114" s="241">
        <f t="shared" si="38"/>
        <v>0</v>
      </c>
      <c r="G114" s="241">
        <f t="shared" si="38"/>
        <v>0</v>
      </c>
      <c r="H114" s="241">
        <f t="shared" si="38"/>
        <v>0</v>
      </c>
      <c r="I114" s="241">
        <f t="shared" si="38"/>
        <v>0</v>
      </c>
      <c r="J114" s="241">
        <f t="shared" si="38"/>
        <v>0</v>
      </c>
      <c r="K114" s="241">
        <f t="shared" si="38"/>
        <v>0</v>
      </c>
      <c r="L114" s="241">
        <f t="shared" si="38"/>
        <v>0</v>
      </c>
      <c r="M114" s="241">
        <f t="shared" si="38"/>
        <v>0</v>
      </c>
      <c r="N114" s="241">
        <f t="shared" si="38"/>
        <v>0</v>
      </c>
      <c r="O114" s="241">
        <f t="shared" si="38"/>
        <v>0</v>
      </c>
      <c r="P114" s="241">
        <f t="shared" si="38"/>
        <v>0</v>
      </c>
      <c r="Q114" s="241">
        <f t="shared" si="38"/>
        <v>0</v>
      </c>
      <c r="R114" s="241">
        <f t="shared" si="38"/>
        <v>0</v>
      </c>
      <c r="S114" s="241">
        <f t="shared" si="38"/>
        <v>0</v>
      </c>
      <c r="T114" s="241">
        <f t="shared" si="38"/>
        <v>0</v>
      </c>
      <c r="U114" s="241">
        <f t="shared" si="38"/>
        <v>0</v>
      </c>
      <c r="V114" s="241">
        <f t="shared" si="38"/>
        <v>0</v>
      </c>
      <c r="W114" s="241">
        <f t="shared" si="38"/>
        <v>0</v>
      </c>
      <c r="X114" s="241">
        <f t="shared" si="38"/>
        <v>0</v>
      </c>
      <c r="Y114" s="241">
        <f t="shared" si="38"/>
        <v>0</v>
      </c>
      <c r="Z114" s="241">
        <f t="shared" si="38"/>
        <v>0</v>
      </c>
      <c r="AA114" s="241">
        <f t="shared" si="38"/>
        <v>0</v>
      </c>
      <c r="AB114" s="241">
        <f t="shared" si="38"/>
        <v>0</v>
      </c>
      <c r="AC114" s="241">
        <f t="shared" si="38"/>
        <v>0</v>
      </c>
      <c r="AD114" s="241">
        <f t="shared" si="38"/>
        <v>0</v>
      </c>
      <c r="AE114" s="241">
        <f t="shared" si="38"/>
        <v>0</v>
      </c>
      <c r="AF114" s="217" t="str">
        <f t="shared" ref="AF114" si="39">A114</f>
        <v>Difference WH-Project type 6</v>
      </c>
      <c r="AG114" s="228"/>
      <c r="AH114" s="238">
        <f>SUM(B114:AE114)</f>
        <v>0</v>
      </c>
      <c r="AI114" s="261"/>
      <c r="AJ114" s="262"/>
      <c r="AK114" s="245">
        <f ca="1">IF(EB.Anwendung&lt;&gt;"",IF(MONTH(Monat.Tag1)=1,0,IF(MONTH(Monat.Tag1)=2,January!Monat.PDiffUeVM,IF(MONTH(Monat.Tag1)=3,February!Monat.PDiffUeVM,IF(MONTH(Monat.Tag1)=4,March!Monat.PDiffUeVM,IF(MONTH(Monat.Tag1)=5,April!Monat.PDiffUeVM,IF(MONTH(Monat.Tag1)=6,May!Monat.PDiffUeVM,IF(MONTH(Monat.Tag1)=7,June!Monat.PDiffUeVM,IF(MONTH(Monat.Tag1)=8,July!Monat.PDiffUeVM,IF(MONTH(Monat.Tag1)=9,August!Monat.PDiffUeVM,IF(MONTH(Monat.Tag1)=10,September!Monat.PDiffUeVM,IF(MONTH(Monat.Tag1)=11,October!Monat.PDiffUeVM,IF(MONTH(Monat.Tag1)=12,November!Monat.PDiffUeVM,"")))))))))))),"")</f>
        <v>0</v>
      </c>
      <c r="AL114" s="262"/>
      <c r="AM114" s="246">
        <f ca="1">AH114+AK114</f>
        <v>0</v>
      </c>
      <c r="AN114" s="262"/>
      <c r="AO114" s="262"/>
      <c r="AP114" s="119"/>
    </row>
    <row r="115" spans="1:42" ht="11.25" hidden="1" customHeight="1" outlineLevel="1" x14ac:dyDescent="0.2">
      <c r="A115" s="123"/>
      <c r="B115" s="293"/>
      <c r="C115" s="293"/>
      <c r="D115" s="293"/>
      <c r="E115" s="293"/>
      <c r="F115" s="293"/>
      <c r="G115" s="293"/>
      <c r="H115" s="293"/>
      <c r="I115" s="293"/>
      <c r="J115" s="294"/>
      <c r="K115" s="293"/>
      <c r="L115" s="293"/>
      <c r="M115" s="293"/>
      <c r="N115" s="293"/>
      <c r="O115" s="293"/>
      <c r="P115" s="293"/>
      <c r="Q115" s="293"/>
      <c r="R115" s="293"/>
      <c r="S115" s="293"/>
      <c r="T115" s="293"/>
      <c r="U115" s="293"/>
      <c r="V115" s="293"/>
      <c r="W115" s="293"/>
      <c r="X115" s="293"/>
      <c r="Y115" s="293"/>
      <c r="Z115" s="293"/>
      <c r="AA115" s="293"/>
      <c r="AB115" s="293"/>
      <c r="AC115" s="293"/>
      <c r="AD115" s="293"/>
      <c r="AE115" s="293"/>
      <c r="AF115" s="295"/>
      <c r="AG115" s="296"/>
      <c r="AH115" s="123"/>
      <c r="AI115" s="123"/>
      <c r="AJ115" s="123"/>
      <c r="AK115" s="123"/>
      <c r="AL115" s="123"/>
      <c r="AM115" s="297"/>
      <c r="AN115" s="123"/>
      <c r="AO115" s="123"/>
      <c r="AP115" s="123"/>
    </row>
    <row r="116" spans="1:42" ht="11.25" customHeight="1" collapsed="1" x14ac:dyDescent="0.2">
      <c r="A116" s="123"/>
      <c r="B116" s="293"/>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293"/>
      <c r="AA116" s="293"/>
      <c r="AB116" s="293"/>
      <c r="AC116" s="293"/>
      <c r="AD116" s="293"/>
      <c r="AE116" s="293"/>
      <c r="AF116" s="295"/>
      <c r="AG116" s="296"/>
      <c r="AH116" s="123"/>
      <c r="AI116" s="123"/>
      <c r="AJ116" s="123"/>
      <c r="AK116" s="123"/>
      <c r="AL116" s="123"/>
      <c r="AM116" s="297"/>
      <c r="AN116" s="123"/>
      <c r="AO116" s="123"/>
      <c r="AP116" s="123"/>
    </row>
    <row r="117" spans="1:42" ht="12" customHeight="1" x14ac:dyDescent="0.2">
      <c r="A117" s="123"/>
      <c r="B117" s="490" t="s">
        <v>226</v>
      </c>
      <c r="C117" s="490"/>
      <c r="D117" s="490"/>
      <c r="E117" s="490"/>
      <c r="F117" s="490"/>
      <c r="G117" s="490"/>
      <c r="H117" s="490"/>
      <c r="I117" s="490"/>
      <c r="J117" s="490"/>
      <c r="K117" s="490"/>
      <c r="L117" s="490"/>
      <c r="M117" s="490"/>
      <c r="N117" s="490"/>
      <c r="O117" s="490"/>
      <c r="P117" s="490"/>
      <c r="Q117" s="490"/>
      <c r="R117" s="298"/>
      <c r="S117" s="298"/>
      <c r="T117" s="298"/>
      <c r="U117" s="298"/>
      <c r="V117" s="298"/>
      <c r="W117" s="298"/>
      <c r="X117" s="298"/>
      <c r="Y117" s="298"/>
      <c r="Z117" s="298"/>
      <c r="AA117" s="298"/>
      <c r="AB117" s="298"/>
      <c r="AC117" s="298"/>
      <c r="AD117" s="298"/>
      <c r="AE117" s="298"/>
      <c r="AF117" s="299"/>
      <c r="AG117" s="300"/>
      <c r="AH117" s="298"/>
      <c r="AI117" s="298"/>
      <c r="AJ117" s="298"/>
      <c r="AK117" s="298"/>
      <c r="AL117" s="298"/>
      <c r="AM117" s="301"/>
      <c r="AN117" s="288"/>
      <c r="AO117" s="288"/>
      <c r="AP117" s="123"/>
    </row>
    <row r="118" spans="1:42" ht="11.25" customHeight="1" x14ac:dyDescent="0.2">
      <c r="A118" s="302"/>
      <c r="B118" s="302"/>
      <c r="C118" s="302"/>
      <c r="D118" s="302"/>
      <c r="E118" s="302"/>
      <c r="F118" s="302"/>
      <c r="G118" s="302"/>
      <c r="H118" s="302"/>
      <c r="I118" s="302"/>
      <c r="J118" s="302"/>
      <c r="K118" s="302"/>
      <c r="L118" s="302"/>
      <c r="M118" s="298"/>
      <c r="N118" s="298"/>
      <c r="O118" s="298"/>
      <c r="P118" s="298"/>
      <c r="Q118" s="298"/>
      <c r="R118" s="298"/>
      <c r="S118" s="298"/>
      <c r="T118" s="298"/>
      <c r="U118" s="298"/>
      <c r="V118" s="298"/>
      <c r="W118" s="298"/>
      <c r="X118" s="298"/>
      <c r="Y118" s="298"/>
      <c r="Z118" s="298"/>
      <c r="AA118" s="298"/>
      <c r="AB118" s="298"/>
      <c r="AC118" s="298"/>
      <c r="AD118" s="298"/>
      <c r="AE118" s="298"/>
      <c r="AF118" s="298"/>
      <c r="AG118" s="298"/>
      <c r="AH118" s="298"/>
      <c r="AI118" s="298"/>
      <c r="AJ118" s="298"/>
      <c r="AK118" s="298"/>
      <c r="AL118" s="298"/>
      <c r="AM118" s="298"/>
      <c r="AN118" s="298"/>
      <c r="AO118" s="298"/>
      <c r="AP118" s="123"/>
    </row>
    <row r="119" spans="1:42" ht="39" customHeight="1" x14ac:dyDescent="0.2">
      <c r="A119" s="135" t="s">
        <v>227</v>
      </c>
      <c r="B119" s="491"/>
      <c r="C119" s="491"/>
      <c r="D119" s="491"/>
      <c r="E119" s="491"/>
      <c r="F119" s="491"/>
      <c r="G119" s="491"/>
      <c r="H119" s="491"/>
      <c r="I119" s="491"/>
      <c r="J119" s="491"/>
      <c r="K119" s="491"/>
      <c r="L119" s="491"/>
      <c r="M119" s="491"/>
      <c r="N119" s="491"/>
      <c r="O119" s="491"/>
      <c r="P119" s="491"/>
      <c r="Q119" s="491"/>
      <c r="R119" s="298"/>
      <c r="S119" s="298"/>
      <c r="T119" s="298"/>
      <c r="U119" s="298"/>
      <c r="V119" s="298"/>
      <c r="W119" s="298"/>
      <c r="X119" s="298"/>
      <c r="Y119" s="492"/>
      <c r="Z119" s="492"/>
      <c r="AA119" s="492"/>
      <c r="AB119" s="492"/>
      <c r="AC119" s="492"/>
      <c r="AD119" s="492"/>
      <c r="AE119" s="492"/>
      <c r="AF119" s="494" t="str">
        <f ca="1">IF(AF67&lt;&gt;Monat.KomAZText,AF67 &amp; CHAR(10),"") &amp;
IF(AF84&lt;&gt;Monat.FerienText,AF84,"")</f>
        <v/>
      </c>
      <c r="AG119" s="494"/>
      <c r="AH119" s="494"/>
      <c r="AI119" s="494"/>
      <c r="AJ119" s="494"/>
      <c r="AK119" s="494"/>
      <c r="AL119" s="494"/>
      <c r="AM119" s="494"/>
      <c r="AN119" s="494"/>
      <c r="AO119" s="494"/>
      <c r="AP119" s="123"/>
    </row>
    <row r="120" spans="1:42" ht="12" customHeight="1" x14ac:dyDescent="0.2">
      <c r="A120" s="442" t="s">
        <v>228</v>
      </c>
      <c r="B120" s="495"/>
      <c r="C120" s="495"/>
      <c r="D120" s="495"/>
      <c r="E120" s="495"/>
      <c r="F120" s="495"/>
      <c r="G120" s="495"/>
      <c r="H120" s="495"/>
      <c r="I120" s="495"/>
      <c r="J120" s="495"/>
      <c r="K120" s="495"/>
      <c r="L120" s="495"/>
      <c r="M120" s="495"/>
      <c r="N120" s="495"/>
      <c r="O120" s="495"/>
      <c r="P120" s="495"/>
      <c r="Q120" s="495"/>
      <c r="R120" s="298"/>
      <c r="S120" s="298"/>
      <c r="T120" s="496" t="s">
        <v>234</v>
      </c>
      <c r="U120" s="496"/>
      <c r="V120" s="496"/>
      <c r="W120" s="496"/>
      <c r="X120" s="496"/>
      <c r="Y120" s="493"/>
      <c r="Z120" s="493"/>
      <c r="AA120" s="493"/>
      <c r="AB120" s="493"/>
      <c r="AC120" s="493"/>
      <c r="AD120" s="493"/>
      <c r="AE120" s="493"/>
      <c r="AF120" s="494"/>
      <c r="AG120" s="494"/>
      <c r="AH120" s="494"/>
      <c r="AI120" s="494"/>
      <c r="AJ120" s="494"/>
      <c r="AK120" s="494"/>
      <c r="AL120" s="494"/>
      <c r="AM120" s="494"/>
      <c r="AN120" s="494"/>
      <c r="AO120" s="494"/>
      <c r="AP120" s="123"/>
    </row>
    <row r="121" spans="1:42" ht="11.25" customHeight="1" x14ac:dyDescent="0.2">
      <c r="A121" s="304"/>
      <c r="B121" s="305"/>
      <c r="C121" s="305"/>
      <c r="D121" s="305"/>
      <c r="E121" s="305"/>
      <c r="F121" s="305"/>
      <c r="G121" s="305"/>
      <c r="H121" s="305"/>
      <c r="I121" s="305"/>
      <c r="J121" s="305"/>
      <c r="K121" s="305"/>
      <c r="L121" s="305"/>
      <c r="M121" s="293"/>
      <c r="N121" s="293"/>
      <c r="O121" s="293"/>
      <c r="P121" s="293"/>
      <c r="Q121" s="293"/>
      <c r="R121" s="293"/>
      <c r="S121" s="298"/>
      <c r="T121" s="293"/>
      <c r="U121" s="293"/>
      <c r="V121" s="293"/>
      <c r="W121" s="293"/>
      <c r="X121" s="293"/>
      <c r="Y121" s="293"/>
      <c r="Z121" s="293"/>
      <c r="AA121" s="293"/>
      <c r="AB121" s="293"/>
      <c r="AC121" s="293"/>
      <c r="AD121" s="293"/>
      <c r="AE121" s="293"/>
      <c r="AF121" s="295"/>
      <c r="AG121" s="296"/>
      <c r="AH121" s="123"/>
      <c r="AI121" s="123"/>
      <c r="AJ121" s="123"/>
      <c r="AK121" s="123"/>
      <c r="AL121" s="123"/>
      <c r="AM121" s="297"/>
      <c r="AN121" s="123"/>
      <c r="AO121" s="123"/>
      <c r="AP121" s="123"/>
    </row>
    <row r="122" spans="1:42" ht="12" customHeight="1" x14ac:dyDescent="0.2">
      <c r="A122" s="123"/>
      <c r="B122" s="482" t="s">
        <v>91</v>
      </c>
      <c r="C122" s="482"/>
      <c r="D122" s="482"/>
      <c r="E122" s="482"/>
      <c r="F122" s="482"/>
      <c r="G122" s="482"/>
      <c r="H122" s="482"/>
      <c r="I122" s="482"/>
      <c r="J122" s="482"/>
      <c r="K122" s="482"/>
      <c r="L122" s="482"/>
      <c r="M122" s="482"/>
      <c r="N122" s="482"/>
      <c r="O122" s="482"/>
      <c r="P122" s="482"/>
      <c r="Q122" s="482"/>
      <c r="R122" s="293"/>
      <c r="S122" s="293"/>
      <c r="T122" s="293"/>
      <c r="U122" s="293"/>
      <c r="V122" s="293"/>
      <c r="W122" s="293"/>
      <c r="X122" s="293"/>
      <c r="Y122" s="293"/>
      <c r="Z122" s="293"/>
      <c r="AA122" s="293"/>
      <c r="AB122" s="293"/>
      <c r="AC122" s="293"/>
      <c r="AD122" s="293"/>
      <c r="AE122" s="293"/>
      <c r="AF122" s="295"/>
      <c r="AG122" s="296"/>
      <c r="AH122" s="123"/>
      <c r="AI122" s="123"/>
      <c r="AJ122" s="123"/>
      <c r="AK122" s="123"/>
      <c r="AL122" s="123"/>
      <c r="AM122" s="297"/>
      <c r="AN122" s="123"/>
      <c r="AO122" s="123"/>
      <c r="AP122" s="123"/>
    </row>
    <row r="123" spans="1:42" ht="11.25" customHeight="1" x14ac:dyDescent="0.2">
      <c r="A123" s="123"/>
      <c r="B123" s="293"/>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293"/>
      <c r="Z123" s="293"/>
      <c r="AA123" s="293"/>
      <c r="AB123" s="293"/>
      <c r="AC123" s="293"/>
      <c r="AD123" s="293"/>
      <c r="AE123" s="293"/>
      <c r="AF123" s="295"/>
      <c r="AG123" s="296"/>
      <c r="AH123" s="123"/>
      <c r="AI123" s="123"/>
      <c r="AJ123" s="123"/>
      <c r="AK123" s="123"/>
      <c r="AL123" s="123"/>
      <c r="AM123" s="297"/>
      <c r="AN123" s="123"/>
      <c r="AO123" s="123"/>
      <c r="AP123" s="123"/>
    </row>
    <row r="124" spans="1:42" ht="11.25" customHeight="1" x14ac:dyDescent="0.2">
      <c r="A124" s="298"/>
      <c r="B124" s="298"/>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c r="AA124" s="298"/>
      <c r="AB124" s="298"/>
      <c r="AC124" s="298"/>
      <c r="AD124" s="298"/>
      <c r="AE124" s="298"/>
      <c r="AF124" s="298"/>
      <c r="AG124" s="298"/>
      <c r="AH124" s="298"/>
      <c r="AI124" s="298"/>
      <c r="AJ124" s="298"/>
      <c r="AK124" s="298"/>
      <c r="AL124" s="298"/>
      <c r="AM124" s="298"/>
      <c r="AN124" s="298"/>
      <c r="AO124" s="298"/>
      <c r="AP124" s="123"/>
    </row>
    <row r="125" spans="1:42" x14ac:dyDescent="0.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row>
    <row r="126" spans="1:42"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row>
    <row r="127" spans="1:42"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row>
    <row r="128" spans="1:42" x14ac:dyDescent="0.2">
      <c r="AF128" s="50"/>
      <c r="AG128" s="50"/>
      <c r="AM128" s="50"/>
    </row>
    <row r="129" spans="32:39" x14ac:dyDescent="0.2">
      <c r="AF129" s="50"/>
      <c r="AG129" s="50"/>
      <c r="AM129" s="50"/>
    </row>
    <row r="130" spans="32:39" x14ac:dyDescent="0.2">
      <c r="AF130" s="50"/>
      <c r="AG130" s="50"/>
      <c r="AM130" s="50"/>
    </row>
    <row r="131" spans="32:39" x14ac:dyDescent="0.2">
      <c r="AF131" s="50"/>
      <c r="AG131" s="50"/>
      <c r="AM131" s="50"/>
    </row>
    <row r="132" spans="32:39" x14ac:dyDescent="0.2">
      <c r="AF132" s="50"/>
      <c r="AG132" s="50"/>
      <c r="AM132" s="50"/>
    </row>
    <row r="133" spans="32:39" x14ac:dyDescent="0.2">
      <c r="AF133" s="50"/>
      <c r="AG133" s="50"/>
      <c r="AM133" s="50"/>
    </row>
    <row r="134" spans="32:39" x14ac:dyDescent="0.2">
      <c r="AF134" s="50"/>
      <c r="AG134" s="50"/>
      <c r="AM134" s="50"/>
    </row>
    <row r="135" spans="32:39" x14ac:dyDescent="0.2">
      <c r="AF135" s="50"/>
      <c r="AG135" s="50"/>
      <c r="AM135" s="50"/>
    </row>
    <row r="136" spans="32:39" x14ac:dyDescent="0.2">
      <c r="AF136" s="50"/>
      <c r="AG136" s="50"/>
      <c r="AM136" s="50"/>
    </row>
    <row r="137" spans="32:39" x14ac:dyDescent="0.2">
      <c r="AF137" s="50"/>
      <c r="AG137" s="50"/>
      <c r="AM137" s="50"/>
    </row>
    <row r="138" spans="32:39" x14ac:dyDescent="0.2">
      <c r="AF138" s="50"/>
      <c r="AG138" s="50"/>
      <c r="AM138" s="50"/>
    </row>
    <row r="139" spans="32:39" x14ac:dyDescent="0.2">
      <c r="AF139" s="50"/>
      <c r="AG139" s="50"/>
      <c r="AM139" s="50"/>
    </row>
    <row r="140" spans="32:39" x14ac:dyDescent="0.2">
      <c r="AF140" s="50"/>
      <c r="AG140" s="50"/>
      <c r="AM140" s="50"/>
    </row>
  </sheetData>
  <sheetProtection sheet="1" objects="1" scenarios="1"/>
  <mergeCells count="26">
    <mergeCell ref="B6:E6"/>
    <mergeCell ref="F6:N6"/>
    <mergeCell ref="B1:L1"/>
    <mergeCell ref="AN1:AO1"/>
    <mergeCell ref="B2:E2"/>
    <mergeCell ref="F2:N2"/>
    <mergeCell ref="P2:U2"/>
    <mergeCell ref="B3:E3"/>
    <mergeCell ref="F3:N3"/>
    <mergeCell ref="P3:U3"/>
    <mergeCell ref="B4:E4"/>
    <mergeCell ref="F4:N4"/>
    <mergeCell ref="P4:U4"/>
    <mergeCell ref="B5:E5"/>
    <mergeCell ref="F5:N5"/>
    <mergeCell ref="B122:Q122"/>
    <mergeCell ref="B7:E7"/>
    <mergeCell ref="F7:N7"/>
    <mergeCell ref="AG10:AH10"/>
    <mergeCell ref="AN10:AO10"/>
    <mergeCell ref="B117:Q117"/>
    <mergeCell ref="B119:Q119"/>
    <mergeCell ref="Y119:AE120"/>
    <mergeCell ref="AF119:AO120"/>
    <mergeCell ref="B120:Q120"/>
    <mergeCell ref="T120:X120"/>
  </mergeCells>
  <conditionalFormatting sqref="AH114 B114:AE114">
    <cfRule type="expression" dxfId="60" priority="13">
      <formula>ABS(B$114)&gt;=ROUND(1/24/60,9)</formula>
    </cfRule>
  </conditionalFormatting>
  <conditionalFormatting sqref="B13:AE22 B34:AE44 B25:AE30 B60:AE61 B67:AE67 B71:AE72 B84:AE84 B86:AE95 B97:AE111">
    <cfRule type="expression" dxfId="59" priority="11">
      <formula>WEEKDAY(B$10,2)&gt;5</formula>
    </cfRule>
    <cfRule type="expression" dxfId="58" priority="12">
      <formula>AND(NOT(ISERROR(MATCH(B$10,T.Feiertage.Bereich,0))),OFFSET(T.Feiertage.Bereich,MATCH(B$10,T.Feiertage.Bereich,0)-1,1,1,1)&gt;0)</formula>
    </cfRule>
    <cfRule type="expression" dxfId="57" priority="14">
      <formula>B$11=0</formula>
    </cfRule>
  </conditionalFormatting>
  <conditionalFormatting sqref="AM60:AN60">
    <cfRule type="expression" dxfId="56" priority="19">
      <formula>AND(T.50_Vetsuisse,AM60&gt;=T.GrenzeAngÜZ50_Vetsuisse)</formula>
    </cfRule>
    <cfRule type="expression" dxfId="55" priority="20">
      <formula>AND(T.50_Vetsuisse,AM60&gt;T.GrenzeAngÜZ50_Vetsuisse*T.AngÜZ50_Vetsuisse_orange)</formula>
    </cfRule>
  </conditionalFormatting>
  <conditionalFormatting sqref="B56:AE56">
    <cfRule type="expression" dxfId="54" priority="5">
      <formula>AND(B$10&gt;TODAY(),EB.UJAustritt="")</formula>
    </cfRule>
    <cfRule type="expression" dxfId="53" priority="6">
      <formula>B$56&gt;99.99/24</formula>
    </cfRule>
    <cfRule type="expression" dxfId="52" priority="8">
      <formula>B$56&lt;99.99/24*-1</formula>
    </cfRule>
  </conditionalFormatting>
  <conditionalFormatting sqref="AN55:AO55">
    <cfRule type="cellIs" dxfId="51" priority="21" operator="greaterThan">
      <formula>1/24/60</formula>
    </cfRule>
    <cfRule type="expression" dxfId="50" priority="22">
      <formula>AND(AN55&lt;=1/24/60*-1,TODAY()&gt;=DATE(EB.Jahr,MONTH(12),DAY(31)))</formula>
    </cfRule>
  </conditionalFormatting>
  <conditionalFormatting sqref="AH58 B56:AE56">
    <cfRule type="expression" dxfId="49" priority="7">
      <formula>B$56&gt;1/24/60</formula>
    </cfRule>
    <cfRule type="expression" dxfId="48" priority="9">
      <formula>AND(B$56&lt;=1/24/60*-1,B$56)</formula>
    </cfRule>
  </conditionalFormatting>
  <conditionalFormatting sqref="B14:AE22 B36:AE44 B26:AE30">
    <cfRule type="expression" dxfId="47" priority="3">
      <formula>AND(B14&lt;B13,B14&lt;&gt;"")</formula>
    </cfRule>
  </conditionalFormatting>
  <conditionalFormatting sqref="B72:AE73">
    <cfRule type="expression" dxfId="46" priority="10">
      <formula>AND(T.50_Vetsuisse,OR(AND(B$72&lt;&gt;INDEX(T.JaNein.Bereich,1,1),B$72&lt;&gt;INDEX(T.JaNein.Bereich,2,1),B$73&lt;&gt;0,MOD(IFERROR(MATCH(1,B$13:B$22,0),1),2)=0),AND(B$72=INDEX(T.JaNein.Bereich,1,1),OR(B$73=0,MOD(IFERROR(MATCH(1,B$13:B$22,0),1),2)&lt;&gt;0))))</formula>
    </cfRule>
  </conditionalFormatting>
  <conditionalFormatting sqref="P4:U4">
    <cfRule type="expression" dxfId="45" priority="15">
      <formula>$P$4&lt;&gt;""</formula>
    </cfRule>
  </conditionalFormatting>
  <conditionalFormatting sqref="V4">
    <cfRule type="expression" dxfId="44" priority="16">
      <formula>$V$4&lt;&gt;""</formula>
    </cfRule>
  </conditionalFormatting>
  <conditionalFormatting sqref="AO60">
    <cfRule type="expression" dxfId="43" priority="23">
      <formula>AND(T.50_Vetsuisse,AO60&gt;=T.GrenzeAngÜZ50_Vetsuisse)</formula>
    </cfRule>
    <cfRule type="expression" dxfId="42" priority="24">
      <formula>AND(T.50_Vetsuisse,AO60&gt;T.GrenzeAngÜZ50_Vetsuisse*T.AngÜZ50_Vetsuisse_orange)</formula>
    </cfRule>
  </conditionalFormatting>
  <conditionalFormatting sqref="AI72:AI73">
    <cfRule type="expression" dxfId="41" priority="17">
      <formula>AND(T.50_Vetsuisse,$AI$72&lt;&gt;$AI$73)</formula>
    </cfRule>
    <cfRule type="expression" dxfId="40" priority="18">
      <formula>$AI$72&gt;$AI$73</formula>
    </cfRule>
  </conditionalFormatting>
  <conditionalFormatting sqref="B55:AE55">
    <cfRule type="expression" dxfId="39" priority="4">
      <formula>AND(B$10&lt;=TODAY(),B$55&lt;1/24/60*-1)</formula>
    </cfRule>
  </conditionalFormatting>
  <conditionalFormatting sqref="AF67 AF84">
    <cfRule type="expression" dxfId="38" priority="2">
      <formula>AF67&lt;&gt;A67</formula>
    </cfRule>
  </conditionalFormatting>
  <conditionalFormatting sqref="B67:AE67">
    <cfRule type="expression" dxfId="37" priority="1">
      <formula>AND(B66=0,B67&gt;0)</formula>
    </cfRule>
  </conditionalFormatting>
  <dataValidations count="2">
    <dataValidation type="list" allowBlank="1" showInputMessage="1" showErrorMessage="1" errorTitle="Start pl. night shift" error="Please choose a value from the drop-down list." sqref="B72:AE72" xr:uid="{53E23198-9D94-4B5E-9650-1EFBB0390A96}">
      <formula1>T.JaNein.Bereich</formula1>
    </dataValidation>
    <dataValidation type="list" allowBlank="1" showInputMessage="1" showErrorMessage="1" errorTitle="Pikett Bereitschaft" error="Bitte wählen Sie einen Wert aus der Liste." sqref="B34:AE34" xr:uid="{D632A42C-E6BB-43F4-B9EE-1A27021CF6DD}">
      <formula1>T.Pikett.Bereich</formula1>
    </dataValidation>
  </dataValidations>
  <printOptions horizontalCentered="1"/>
  <pageMargins left="0.19685039370078741" right="0.19685039370078741" top="0.39370078740157483" bottom="0.39370078740157483" header="0.31496062992125984" footer="0.19685039370078741"/>
  <pageSetup paperSize="9" scale="30" orientation="landscape" horizontalDpi="4294967292" verticalDpi="4294967292" r:id="rId1"/>
  <headerFooter alignWithMargins="0">
    <oddFooter>&amp;L&amp;"Arial,Standard"&amp;11Monatsabrechnung &amp;A&amp;C&amp;"Arial,Standard"&amp;11&amp;D&amp;R&amp;"Arial,Standard"&amp;11&amp;P / &amp;N</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4651E-591F-4B24-9813-754DE176C5A0}">
  <sheetPr>
    <pageSetUpPr fitToPage="1"/>
  </sheetPr>
  <dimension ref="A1:AQ140"/>
  <sheetViews>
    <sheetView showGridLines="0" zoomScale="85" zoomScaleNormal="85" zoomScalePageLayoutView="85" workbookViewId="0">
      <pane xSplit="1" ySplit="10" topLeftCell="B11" activePane="bottomRight" state="frozenSplit"/>
      <selection activeCell="Q8" sqref="Q8:AF11"/>
      <selection pane="topRight" activeCell="Q8" sqref="Q8:AF11"/>
      <selection pane="bottomLeft" activeCell="Q8" sqref="Q8:AF11"/>
      <selection pane="bottomRight" activeCell="B13" sqref="B13"/>
    </sheetView>
  </sheetViews>
  <sheetFormatPr baseColWidth="10" defaultColWidth="10.75" defaultRowHeight="12.75" outlineLevelRow="1" outlineLevelCol="1" x14ac:dyDescent="0.2"/>
  <cols>
    <col min="1" max="1" width="24.5" style="50" customWidth="1"/>
    <col min="2" max="32" width="5.75" style="50" customWidth="1"/>
    <col min="33" max="33" width="24.5" style="52" customWidth="1"/>
    <col min="34" max="34" width="2.125" style="53" customWidth="1"/>
    <col min="35" max="36" width="8.125" style="50" customWidth="1"/>
    <col min="37" max="37" width="15.875" style="50" hidden="1" customWidth="1" outlineLevel="1"/>
    <col min="38" max="39" width="14.25" style="50" hidden="1" customWidth="1" outlineLevel="1"/>
    <col min="40" max="40" width="9.375" style="37" customWidth="1" collapsed="1"/>
    <col min="41" max="42" width="8.125" style="50" customWidth="1"/>
    <col min="43" max="43" width="3.75" style="50" customWidth="1"/>
    <col min="44" max="16384" width="10.75" style="50"/>
  </cols>
  <sheetData>
    <row r="1" spans="1:43" s="54" customFormat="1" ht="22.5" customHeight="1" x14ac:dyDescent="0.2">
      <c r="A1" s="181" t="str">
        <f>INDEX(EB.Monate.Bereich,MONTH(Monat.Tag1)) &amp; " " &amp; EB.Jahr</f>
        <v>December 2020</v>
      </c>
      <c r="B1" s="470" t="str">
        <f>Eingabeblatt!B1</f>
        <v>Employee Time Sheet</v>
      </c>
      <c r="C1" s="470"/>
      <c r="D1" s="470"/>
      <c r="E1" s="470"/>
      <c r="F1" s="470"/>
      <c r="G1" s="470"/>
      <c r="H1" s="470"/>
      <c r="I1" s="470"/>
      <c r="J1" s="470"/>
      <c r="K1" s="470"/>
      <c r="L1" s="470"/>
      <c r="M1" s="101"/>
      <c r="N1" s="101"/>
      <c r="O1" s="101"/>
      <c r="P1" s="101"/>
      <c r="Q1" s="101"/>
      <c r="R1" s="182"/>
      <c r="S1" s="101"/>
      <c r="T1" s="101"/>
      <c r="U1" s="101"/>
      <c r="V1" s="183"/>
      <c r="W1" s="183"/>
      <c r="X1" s="101"/>
      <c r="Y1" s="182"/>
      <c r="Z1" s="101"/>
      <c r="AA1" s="101"/>
      <c r="AB1" s="101"/>
      <c r="AC1" s="101"/>
      <c r="AD1" s="101"/>
      <c r="AE1" s="101"/>
      <c r="AF1" s="101"/>
      <c r="AG1" s="184"/>
      <c r="AH1" s="185"/>
      <c r="AI1" s="101"/>
      <c r="AJ1" s="101"/>
      <c r="AK1" s="101"/>
      <c r="AL1" s="101"/>
      <c r="AM1" s="101"/>
      <c r="AN1" s="440"/>
      <c r="AO1" s="498" t="str">
        <f>EB.Version</f>
        <v>Version 12.19</v>
      </c>
      <c r="AP1" s="498"/>
      <c r="AQ1" s="103" t="str">
        <f>EB.Sprache</f>
        <v>EN</v>
      </c>
    </row>
    <row r="2" spans="1:43" s="38" customFormat="1" ht="15" customHeight="1" x14ac:dyDescent="0.2">
      <c r="A2" s="135"/>
      <c r="B2" s="461" t="str">
        <f>Eingabeblatt!A3</f>
        <v>Name</v>
      </c>
      <c r="C2" s="474"/>
      <c r="D2" s="474"/>
      <c r="E2" s="462"/>
      <c r="F2" s="499" t="str">
        <f>IF(EB.Name="","?",EB.Name)</f>
        <v>?</v>
      </c>
      <c r="G2" s="500"/>
      <c r="H2" s="500"/>
      <c r="I2" s="500"/>
      <c r="J2" s="500"/>
      <c r="K2" s="500"/>
      <c r="L2" s="500"/>
      <c r="M2" s="500"/>
      <c r="N2" s="501"/>
      <c r="O2" s="186"/>
      <c r="P2" s="461" t="str">
        <f>Eingabeblatt!J7</f>
        <v>Employment Level (FTE) in %</v>
      </c>
      <c r="Q2" s="474"/>
      <c r="R2" s="474"/>
      <c r="S2" s="474"/>
      <c r="T2" s="474"/>
      <c r="U2" s="462"/>
      <c r="V2" s="14">
        <f>IF(INDEX(EB.EffBG.Bereich,MONTH(Monat.Tag1))="","-     ",INDEX(EB.EffBG.Bereich,MONTH(Monat.Tag1)))</f>
        <v>100</v>
      </c>
      <c r="W2" s="187"/>
      <c r="X2" s="187"/>
      <c r="Y2" s="108"/>
      <c r="Z2" s="119"/>
      <c r="AA2" s="119"/>
      <c r="AB2" s="119"/>
      <c r="AC2" s="119"/>
      <c r="AD2" s="119"/>
      <c r="AE2" s="119"/>
      <c r="AF2" s="119"/>
      <c r="AG2" s="106"/>
      <c r="AH2" s="188"/>
      <c r="AI2" s="119"/>
      <c r="AJ2" s="119"/>
      <c r="AK2" s="119"/>
      <c r="AL2" s="119"/>
      <c r="AM2" s="119"/>
      <c r="AN2" s="189"/>
      <c r="AO2" s="119"/>
      <c r="AP2" s="119"/>
      <c r="AQ2" s="119"/>
    </row>
    <row r="3" spans="1:43" s="38" customFormat="1" ht="15" customHeight="1" x14ac:dyDescent="0.2">
      <c r="A3" s="190"/>
      <c r="B3" s="461" t="str">
        <f>Eingabeblatt!H2</f>
        <v>Function</v>
      </c>
      <c r="C3" s="474"/>
      <c r="D3" s="474"/>
      <c r="E3" s="462"/>
      <c r="F3" s="483" t="str">
        <f>EB.Funktion</f>
        <v>Description of Function</v>
      </c>
      <c r="G3" s="484"/>
      <c r="H3" s="484"/>
      <c r="I3" s="484"/>
      <c r="J3" s="484"/>
      <c r="K3" s="484"/>
      <c r="L3" s="484"/>
      <c r="M3" s="484"/>
      <c r="N3" s="485"/>
      <c r="O3" s="106"/>
      <c r="P3" s="461" t="str">
        <f>Eingabeblatt!J12</f>
        <v>ø Hours per day at FTE</v>
      </c>
      <c r="Q3" s="474"/>
      <c r="R3" s="474"/>
      <c r="S3" s="474"/>
      <c r="T3" s="474"/>
      <c r="U3" s="462"/>
      <c r="V3" s="57">
        <f>IF(INDEX(EB.DurchSollTAZStd.Bereich,MONTH(Monat.Tag1))="","-     ",INDEX(EB.DurchSollTAZStd.Bereich,MONTH(Monat.Tag1)))</f>
        <v>0.35</v>
      </c>
      <c r="W3" s="191"/>
      <c r="X3" s="191"/>
      <c r="Y3" s="119"/>
      <c r="Z3" s="119"/>
      <c r="AA3" s="119"/>
      <c r="AB3" s="119"/>
      <c r="AC3" s="119"/>
      <c r="AD3" s="119"/>
      <c r="AE3" s="119"/>
      <c r="AF3" s="119"/>
      <c r="AG3" s="106"/>
      <c r="AH3" s="188"/>
      <c r="AI3" s="119"/>
      <c r="AJ3" s="119"/>
      <c r="AK3" s="119"/>
      <c r="AL3" s="119"/>
      <c r="AM3" s="119"/>
      <c r="AN3" s="189"/>
      <c r="AO3" s="119"/>
      <c r="AP3" s="119"/>
      <c r="AQ3" s="119"/>
    </row>
    <row r="4" spans="1:43" s="38" customFormat="1" ht="15" customHeight="1" x14ac:dyDescent="0.2">
      <c r="A4" s="190"/>
      <c r="B4" s="461" t="str">
        <f>Eingabeblatt!H3</f>
        <v>Institute/Department</v>
      </c>
      <c r="C4" s="474"/>
      <c r="D4" s="474"/>
      <c r="E4" s="462"/>
      <c r="F4" s="483" t="str">
        <f>EB.Institut</f>
        <v>Institute/Department Name</v>
      </c>
      <c r="G4" s="484"/>
      <c r="H4" s="484"/>
      <c r="I4" s="484"/>
      <c r="J4" s="484"/>
      <c r="K4" s="484"/>
      <c r="L4" s="484"/>
      <c r="M4" s="484"/>
      <c r="N4" s="485"/>
      <c r="O4" s="106"/>
      <c r="P4" s="497" t="str">
        <f ca="1">IF(EB.ÜZZSBerechtigt=INDEX(T.JaNein.Bereich,1,1),IF(AND(OR(AND(EB.LKgr16=INDEX(T.JaNein.Bereich,1,1),EB.LKgr16ab&gt;EOMONTH(Monat.Tag1,0)),EB.LKgr16&lt;&gt;INDEX(T.JaNein.Bereich,1,1)),Monat.AZSoll.Total&gt;0),Eingabeblatt!J6,""),"")</f>
        <v/>
      </c>
      <c r="Q4" s="497"/>
      <c r="R4" s="497"/>
      <c r="S4" s="497"/>
      <c r="T4" s="497"/>
      <c r="U4" s="497"/>
      <c r="V4" s="192" t="str">
        <f ca="1">IF(P4&lt;&gt;"",EB.ÜZZSBerechtigt,"")</f>
        <v/>
      </c>
      <c r="W4" s="119"/>
      <c r="X4" s="119"/>
      <c r="Y4" s="119"/>
      <c r="Z4" s="119"/>
      <c r="AA4" s="119"/>
      <c r="AB4" s="119"/>
      <c r="AC4" s="119"/>
      <c r="AD4" s="119"/>
      <c r="AE4" s="119"/>
      <c r="AF4" s="119"/>
      <c r="AG4" s="106"/>
      <c r="AH4" s="188"/>
      <c r="AI4" s="119"/>
      <c r="AJ4" s="119"/>
      <c r="AK4" s="119"/>
      <c r="AL4" s="119"/>
      <c r="AM4" s="119"/>
      <c r="AN4" s="189"/>
      <c r="AO4" s="119"/>
      <c r="AP4" s="119"/>
      <c r="AQ4" s="119"/>
    </row>
    <row r="5" spans="1:43" s="38" customFormat="1" ht="15" customHeight="1" x14ac:dyDescent="0.2">
      <c r="A5" s="190"/>
      <c r="B5" s="461" t="str">
        <f>Eingabeblatt!A5</f>
        <v>Employee Number</v>
      </c>
      <c r="C5" s="474"/>
      <c r="D5" s="474"/>
      <c r="E5" s="462"/>
      <c r="F5" s="483" t="str">
        <f>IF(EB.Personalnummer="","?",EB.Personalnummer)</f>
        <v>?</v>
      </c>
      <c r="G5" s="484"/>
      <c r="H5" s="484"/>
      <c r="I5" s="484"/>
      <c r="J5" s="484"/>
      <c r="K5" s="484"/>
      <c r="L5" s="484"/>
      <c r="M5" s="484"/>
      <c r="N5" s="485"/>
      <c r="O5" s="106"/>
      <c r="P5" s="110" t="str">
        <f>LEFT(Eingabeblatt!A38,SEARCH("(",Eingabeblatt!A38,1)-2) &amp; IF(MONTH(Monat.Tag1)&gt;1,IF(EB.Sprache="EN"," (changes as of "," (Veränderungen ab ") &amp; INDEX(EB.Monate.Bereich,MONTH(Monat.Tag1))  &amp; IF(EB.Sprache="EN"," have to be entered here)"," hier eintragen)"),"")</f>
        <v>Standard working hours (changes as of December have to be entered here)</v>
      </c>
      <c r="Q5" s="106"/>
      <c r="R5" s="119"/>
      <c r="S5" s="119"/>
      <c r="T5" s="119"/>
      <c r="U5" s="119"/>
      <c r="V5" s="119"/>
      <c r="W5" s="119"/>
      <c r="X5" s="119"/>
      <c r="Y5" s="119"/>
      <c r="Z5" s="119"/>
      <c r="AA5" s="119"/>
      <c r="AB5" s="119"/>
      <c r="AC5" s="119"/>
      <c r="AD5" s="119"/>
      <c r="AE5" s="119"/>
      <c r="AF5" s="119" t="s">
        <v>4</v>
      </c>
      <c r="AG5" s="106"/>
      <c r="AH5" s="188"/>
      <c r="AI5" s="119"/>
      <c r="AJ5" s="119"/>
      <c r="AK5" s="119"/>
      <c r="AL5" s="119"/>
      <c r="AM5" s="119"/>
      <c r="AN5" s="189"/>
      <c r="AO5" s="119"/>
      <c r="AP5" s="119"/>
      <c r="AQ5" s="119"/>
    </row>
    <row r="6" spans="1:43" s="38" customFormat="1" ht="15" customHeight="1" x14ac:dyDescent="0.2">
      <c r="A6" s="190"/>
      <c r="B6" s="461" t="str">
        <f>Eingabeblatt!H4</f>
        <v>Faculty</v>
      </c>
      <c r="C6" s="474"/>
      <c r="D6" s="474"/>
      <c r="E6" s="462"/>
      <c r="F6" s="483" t="str">
        <f>EB.Fakultaet</f>
        <v>Select Faculty</v>
      </c>
      <c r="G6" s="484"/>
      <c r="H6" s="484"/>
      <c r="I6" s="484"/>
      <c r="J6" s="484"/>
      <c r="K6" s="484"/>
      <c r="L6" s="484"/>
      <c r="M6" s="484"/>
      <c r="N6" s="485"/>
      <c r="O6" s="106"/>
      <c r="P6" s="193" t="str">
        <f>LEFT(INDEX(EB.RAZ_Wochentage.Bereich,1),2)</f>
        <v>Mo</v>
      </c>
      <c r="Q6" s="193" t="str">
        <f>LEFT(INDEX(EB.RAZ_Wochentage.Bereich,2),2)</f>
        <v>Tu</v>
      </c>
      <c r="R6" s="193" t="str">
        <f>LEFT(INDEX(EB.RAZ_Wochentage.Bereich,3),2)</f>
        <v>We</v>
      </c>
      <c r="S6" s="193" t="str">
        <f>LEFT(INDEX(EB.RAZ_Wochentage.Bereich,4),2)</f>
        <v>Th</v>
      </c>
      <c r="T6" s="193" t="str">
        <f>LEFT(INDEX(EB.RAZ_Wochentage.Bereich,5),2)</f>
        <v>Fr</v>
      </c>
      <c r="U6" s="193" t="str">
        <f>LEFT(INDEX(EB.RAZ_Wochentage.Bereich,6),2)</f>
        <v>Sa</v>
      </c>
      <c r="V6" s="193" t="str">
        <f>LEFT(INDEX(EB.RAZ_Wochentage.Bereich,7),2)</f>
        <v>Su</v>
      </c>
      <c r="W6" s="119"/>
      <c r="X6" s="119"/>
      <c r="Y6" s="119"/>
      <c r="Z6" s="119"/>
      <c r="AA6" s="119"/>
      <c r="AB6" s="119"/>
      <c r="AC6" s="119"/>
      <c r="AD6" s="119"/>
      <c r="AE6" s="119"/>
      <c r="AF6" s="119"/>
      <c r="AG6" s="106"/>
      <c r="AH6" s="188"/>
      <c r="AI6" s="119"/>
      <c r="AJ6" s="119"/>
      <c r="AK6" s="119"/>
      <c r="AL6" s="119"/>
      <c r="AM6" s="119"/>
      <c r="AN6" s="189"/>
      <c r="AO6" s="119"/>
      <c r="AP6" s="119"/>
      <c r="AQ6" s="119"/>
    </row>
    <row r="7" spans="1:43" s="38" customFormat="1" ht="15" customHeight="1" x14ac:dyDescent="0.2">
      <c r="A7" s="190"/>
      <c r="B7" s="461" t="str">
        <f>Eingabeblatt!H5</f>
        <v>Employee Category</v>
      </c>
      <c r="C7" s="474"/>
      <c r="D7" s="474"/>
      <c r="E7" s="462"/>
      <c r="F7" s="483" t="str">
        <f>EB.Personalkategorie</f>
        <v>Select Employee Category</v>
      </c>
      <c r="G7" s="484"/>
      <c r="H7" s="484"/>
      <c r="I7" s="484"/>
      <c r="J7" s="484"/>
      <c r="K7" s="484"/>
      <c r="L7" s="484"/>
      <c r="M7" s="484"/>
      <c r="N7" s="485"/>
      <c r="O7" s="106"/>
      <c r="P7" s="194">
        <f ca="1">IF(EB.Anwendung&lt;&gt;"",IF(MONTH(Monat.Tag1)=1,INDEX(EB.RAZ1_7.Bereich,1),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1)),"")</f>
        <v>0.35</v>
      </c>
      <c r="Q7" s="194">
        <f ca="1">IF(EB.Anwendung&lt;&gt;"",IF(MONTH(Monat.Tag1)=1,INDEX(EB.RAZ1_7.Bereich,2),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2)),"")</f>
        <v>0.35</v>
      </c>
      <c r="R7" s="194">
        <f ca="1">IF(EB.Anwendung&lt;&gt;"",IF(MONTH(Monat.Tag1)=1,INDEX(EB.RAZ1_7.Bereich,3),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3)),"")</f>
        <v>0.35</v>
      </c>
      <c r="S7" s="194">
        <f ca="1">IF(EB.Anwendung&lt;&gt;"",IF(MONTH(Monat.Tag1)=1,INDEX(EB.RAZ1_7.Bereich,4),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4)),"")</f>
        <v>0.35</v>
      </c>
      <c r="T7" s="194">
        <f ca="1">IF(EB.Anwendung&lt;&gt;"",IF(MONTH(Monat.Tag1)=1,INDEX(EB.RAZ1_7.Bereich,5),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5)),"")</f>
        <v>0.35</v>
      </c>
      <c r="U7" s="194">
        <f ca="1">IF(EB.Anwendung&lt;&gt;"",IF(MONTH(Monat.Tag1)=1,INDEX(EB.RAZ1_7.Bereich,6),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6)),"")</f>
        <v>0</v>
      </c>
      <c r="V7" s="194">
        <f ca="1">IF(EB.Anwendung&lt;&gt;"",IF(MONTH(Monat.Tag1)=1,INDEX(EB.RAZ1_7.Bereich,7),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7)),"")</f>
        <v>0</v>
      </c>
      <c r="W7" s="354">
        <f ca="1">SUM(Monat.RAZ1_7.Bereich)</f>
        <v>1.75</v>
      </c>
      <c r="X7" s="119"/>
      <c r="Y7" s="119"/>
      <c r="Z7" s="119"/>
      <c r="AA7" s="119"/>
      <c r="AB7" s="119"/>
      <c r="AC7" s="119"/>
      <c r="AD7" s="119"/>
      <c r="AE7" s="119"/>
      <c r="AF7" s="119"/>
      <c r="AG7" s="106"/>
      <c r="AH7" s="188"/>
      <c r="AI7" s="119"/>
      <c r="AJ7" s="119"/>
      <c r="AK7" s="119"/>
      <c r="AL7" s="119"/>
      <c r="AM7" s="119"/>
      <c r="AN7" s="189"/>
      <c r="AO7" s="119"/>
      <c r="AP7" s="119"/>
      <c r="AQ7" s="119"/>
    </row>
    <row r="8" spans="1:43" s="38" customFormat="1" ht="11.25" customHeight="1" x14ac:dyDescent="0.2">
      <c r="A8" s="135"/>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06"/>
      <c r="AH8" s="188"/>
      <c r="AI8" s="119"/>
      <c r="AJ8" s="119"/>
      <c r="AK8" s="119"/>
      <c r="AL8" s="119"/>
      <c r="AM8" s="119"/>
      <c r="AN8" s="189"/>
      <c r="AO8" s="119"/>
      <c r="AP8" s="119"/>
      <c r="AQ8" s="119"/>
    </row>
    <row r="9" spans="1:43" s="38" customFormat="1" ht="15" customHeight="1" x14ac:dyDescent="0.2">
      <c r="A9" s="135"/>
      <c r="B9" s="195" t="str">
        <f t="shared" ref="B9:AF9" si="0">INDEX(Monat.Wochentage.Bereich,1,WEEKDAY(B10,2))</f>
        <v>Tu</v>
      </c>
      <c r="C9" s="195" t="str">
        <f t="shared" si="0"/>
        <v>We</v>
      </c>
      <c r="D9" s="195" t="str">
        <f t="shared" si="0"/>
        <v>Th</v>
      </c>
      <c r="E9" s="195" t="str">
        <f t="shared" si="0"/>
        <v>Fr</v>
      </c>
      <c r="F9" s="195" t="str">
        <f t="shared" si="0"/>
        <v>Sa</v>
      </c>
      <c r="G9" s="195" t="str">
        <f t="shared" si="0"/>
        <v>Su</v>
      </c>
      <c r="H9" s="195" t="str">
        <f t="shared" si="0"/>
        <v>Mo</v>
      </c>
      <c r="I9" s="195" t="str">
        <f t="shared" si="0"/>
        <v>Tu</v>
      </c>
      <c r="J9" s="195" t="str">
        <f t="shared" si="0"/>
        <v>We</v>
      </c>
      <c r="K9" s="195" t="str">
        <f t="shared" si="0"/>
        <v>Th</v>
      </c>
      <c r="L9" s="195" t="str">
        <f t="shared" si="0"/>
        <v>Fr</v>
      </c>
      <c r="M9" s="195" t="str">
        <f t="shared" si="0"/>
        <v>Sa</v>
      </c>
      <c r="N9" s="195" t="str">
        <f t="shared" si="0"/>
        <v>Su</v>
      </c>
      <c r="O9" s="195" t="str">
        <f t="shared" si="0"/>
        <v>Mo</v>
      </c>
      <c r="P9" s="195" t="str">
        <f t="shared" si="0"/>
        <v>Tu</v>
      </c>
      <c r="Q9" s="195" t="str">
        <f t="shared" si="0"/>
        <v>We</v>
      </c>
      <c r="R9" s="195" t="str">
        <f t="shared" si="0"/>
        <v>Th</v>
      </c>
      <c r="S9" s="195" t="str">
        <f t="shared" si="0"/>
        <v>Fr</v>
      </c>
      <c r="T9" s="195" t="str">
        <f t="shared" si="0"/>
        <v>Sa</v>
      </c>
      <c r="U9" s="195" t="str">
        <f t="shared" si="0"/>
        <v>Su</v>
      </c>
      <c r="V9" s="195" t="str">
        <f t="shared" si="0"/>
        <v>Mo</v>
      </c>
      <c r="W9" s="195" t="str">
        <f t="shared" si="0"/>
        <v>Tu</v>
      </c>
      <c r="X9" s="195" t="str">
        <f t="shared" si="0"/>
        <v>We</v>
      </c>
      <c r="Y9" s="195" t="str">
        <f t="shared" si="0"/>
        <v>Th</v>
      </c>
      <c r="Z9" s="195" t="str">
        <f t="shared" si="0"/>
        <v>Fr</v>
      </c>
      <c r="AA9" s="195" t="str">
        <f t="shared" si="0"/>
        <v>Sa</v>
      </c>
      <c r="AB9" s="195" t="str">
        <f t="shared" si="0"/>
        <v>Su</v>
      </c>
      <c r="AC9" s="195" t="str">
        <f t="shared" si="0"/>
        <v>Mo</v>
      </c>
      <c r="AD9" s="195" t="str">
        <f t="shared" si="0"/>
        <v>Tu</v>
      </c>
      <c r="AE9" s="195" t="str">
        <f t="shared" si="0"/>
        <v>We</v>
      </c>
      <c r="AF9" s="195" t="str">
        <f t="shared" si="0"/>
        <v>Th</v>
      </c>
      <c r="AG9" s="106"/>
      <c r="AH9" s="188"/>
      <c r="AI9" s="119"/>
      <c r="AJ9" s="119"/>
      <c r="AK9" s="119"/>
      <c r="AL9" s="119"/>
      <c r="AM9" s="119"/>
      <c r="AN9" s="189"/>
      <c r="AO9" s="119"/>
      <c r="AP9" s="119"/>
      <c r="AQ9" s="119"/>
    </row>
    <row r="10" spans="1:43" s="59" customFormat="1" ht="25.5" x14ac:dyDescent="0.2">
      <c r="A10" s="196" t="s">
        <v>73</v>
      </c>
      <c r="B10" s="197">
        <v>42704</v>
      </c>
      <c r="C10" s="197">
        <f>B10+1</f>
        <v>42705</v>
      </c>
      <c r="D10" s="197">
        <f t="shared" ref="D10:AF10" si="1">C10+1</f>
        <v>42706</v>
      </c>
      <c r="E10" s="197">
        <f t="shared" si="1"/>
        <v>42707</v>
      </c>
      <c r="F10" s="197">
        <f t="shared" si="1"/>
        <v>42708</v>
      </c>
      <c r="G10" s="197">
        <f t="shared" si="1"/>
        <v>42709</v>
      </c>
      <c r="H10" s="197">
        <f t="shared" si="1"/>
        <v>42710</v>
      </c>
      <c r="I10" s="197">
        <f t="shared" si="1"/>
        <v>42711</v>
      </c>
      <c r="J10" s="197">
        <f t="shared" si="1"/>
        <v>42712</v>
      </c>
      <c r="K10" s="197">
        <f t="shared" si="1"/>
        <v>42713</v>
      </c>
      <c r="L10" s="197">
        <f t="shared" si="1"/>
        <v>42714</v>
      </c>
      <c r="M10" s="197">
        <f t="shared" si="1"/>
        <v>42715</v>
      </c>
      <c r="N10" s="197">
        <f t="shared" si="1"/>
        <v>42716</v>
      </c>
      <c r="O10" s="197">
        <f t="shared" si="1"/>
        <v>42717</v>
      </c>
      <c r="P10" s="197">
        <f t="shared" si="1"/>
        <v>42718</v>
      </c>
      <c r="Q10" s="197">
        <f t="shared" si="1"/>
        <v>42719</v>
      </c>
      <c r="R10" s="197">
        <f t="shared" si="1"/>
        <v>42720</v>
      </c>
      <c r="S10" s="197">
        <f t="shared" si="1"/>
        <v>42721</v>
      </c>
      <c r="T10" s="197">
        <f t="shared" si="1"/>
        <v>42722</v>
      </c>
      <c r="U10" s="197">
        <f t="shared" si="1"/>
        <v>42723</v>
      </c>
      <c r="V10" s="197">
        <f t="shared" si="1"/>
        <v>42724</v>
      </c>
      <c r="W10" s="197">
        <f t="shared" si="1"/>
        <v>42725</v>
      </c>
      <c r="X10" s="197">
        <f t="shared" si="1"/>
        <v>42726</v>
      </c>
      <c r="Y10" s="197">
        <f t="shared" si="1"/>
        <v>42727</v>
      </c>
      <c r="Z10" s="197">
        <f t="shared" si="1"/>
        <v>42728</v>
      </c>
      <c r="AA10" s="197">
        <f t="shared" si="1"/>
        <v>42729</v>
      </c>
      <c r="AB10" s="197">
        <f t="shared" si="1"/>
        <v>42730</v>
      </c>
      <c r="AC10" s="197">
        <f t="shared" si="1"/>
        <v>42731</v>
      </c>
      <c r="AD10" s="197">
        <f t="shared" si="1"/>
        <v>42732</v>
      </c>
      <c r="AE10" s="197">
        <f t="shared" si="1"/>
        <v>42733</v>
      </c>
      <c r="AF10" s="197">
        <f t="shared" si="1"/>
        <v>42734</v>
      </c>
      <c r="AG10" s="198" t="str">
        <f t="shared" ref="AG10:AG56" si="2">A10</f>
        <v>Day</v>
      </c>
      <c r="AH10" s="486" t="str">
        <f>"Total " &amp; INDEX(EB.Monate.Bereich,MONTH(Monat.Tag1))</f>
        <v>Total December</v>
      </c>
      <c r="AI10" s="487"/>
      <c r="AJ10" s="441" t="s">
        <v>229</v>
      </c>
      <c r="AK10" s="199" t="s">
        <v>121</v>
      </c>
      <c r="AL10" s="199" t="s">
        <v>122</v>
      </c>
      <c r="AM10" s="199" t="s">
        <v>230</v>
      </c>
      <c r="AN10" s="200" t="s">
        <v>123</v>
      </c>
      <c r="AO10" s="488" t="str">
        <f ca="1">IF(EB.Sprache="DE","Jahressaldo per" &amp; CHAR(10) &amp; "    ME       " &amp; IFERROR(TEXT(TODAY(),"[$-0007]"&amp;"TT.MM.JJ"),TEXT(TODAY(),"[$-0007]"&amp;"DD.MM.YY")),
"Yearly balance by" &amp; CHAR(10) &amp; "   eom      " &amp; IFERROR(TEXT(TODAY(),"[$-0809]"&amp;"DD.MM.YY"),TEXT(TODAY(),"[$-0809]"&amp;"TT.MM.JJ")))</f>
        <v>Yearly balance by
   eom      14.12.19</v>
      </c>
      <c r="AP10" s="489"/>
      <c r="AQ10" s="201"/>
    </row>
    <row r="11" spans="1:43" s="59" customFormat="1" ht="12" hidden="1" customHeight="1" x14ac:dyDescent="0.2">
      <c r="A11" s="196" t="s">
        <v>163</v>
      </c>
      <c r="B11" s="202">
        <f t="shared" ref="B11:AF11" ca="1" si="3">IFERROR(OFFSET(T.Feiertage.Bereich,MATCH(B$10,T.Feiertage.Bereich,0)-1,1,1,1),1)</f>
        <v>1</v>
      </c>
      <c r="C11" s="202">
        <f t="shared" ca="1" si="3"/>
        <v>1</v>
      </c>
      <c r="D11" s="202">
        <f t="shared" ca="1" si="3"/>
        <v>1</v>
      </c>
      <c r="E11" s="203">
        <f t="shared" ca="1" si="3"/>
        <v>1</v>
      </c>
      <c r="F11" s="202">
        <f t="shared" ca="1" si="3"/>
        <v>1</v>
      </c>
      <c r="G11" s="202">
        <f t="shared" ca="1" si="3"/>
        <v>1</v>
      </c>
      <c r="H11" s="202">
        <f t="shared" ca="1" si="3"/>
        <v>1</v>
      </c>
      <c r="I11" s="202">
        <f t="shared" ca="1" si="3"/>
        <v>1</v>
      </c>
      <c r="J11" s="203">
        <f t="shared" ca="1" si="3"/>
        <v>1</v>
      </c>
      <c r="K11" s="202">
        <f t="shared" ca="1" si="3"/>
        <v>1</v>
      </c>
      <c r="L11" s="203">
        <f t="shared" ca="1" si="3"/>
        <v>1</v>
      </c>
      <c r="M11" s="202">
        <f t="shared" ca="1" si="3"/>
        <v>1</v>
      </c>
      <c r="N11" s="202">
        <f t="shared" ca="1" si="3"/>
        <v>1</v>
      </c>
      <c r="O11" s="202">
        <f t="shared" ca="1" si="3"/>
        <v>1</v>
      </c>
      <c r="P11" s="202">
        <f t="shared" ca="1" si="3"/>
        <v>1</v>
      </c>
      <c r="Q11" s="203">
        <f t="shared" ca="1" si="3"/>
        <v>1</v>
      </c>
      <c r="R11" s="202">
        <f t="shared" ca="1" si="3"/>
        <v>1</v>
      </c>
      <c r="S11" s="203">
        <f t="shared" ca="1" si="3"/>
        <v>1</v>
      </c>
      <c r="T11" s="203">
        <f t="shared" ca="1" si="3"/>
        <v>1</v>
      </c>
      <c r="U11" s="202">
        <f t="shared" ca="1" si="3"/>
        <v>1</v>
      </c>
      <c r="V11" s="202">
        <f t="shared" ca="1" si="3"/>
        <v>1</v>
      </c>
      <c r="W11" s="202">
        <f t="shared" ca="1" si="3"/>
        <v>1</v>
      </c>
      <c r="X11" s="203">
        <f t="shared" ca="1" si="3"/>
        <v>1</v>
      </c>
      <c r="Y11" s="202">
        <f t="shared" ca="1" si="3"/>
        <v>0.5</v>
      </c>
      <c r="Z11" s="204">
        <f t="shared" ca="1" si="3"/>
        <v>0</v>
      </c>
      <c r="AA11" s="202">
        <f t="shared" ca="1" si="3"/>
        <v>0</v>
      </c>
      <c r="AB11" s="202">
        <f t="shared" ca="1" si="3"/>
        <v>1</v>
      </c>
      <c r="AC11" s="202">
        <f t="shared" ca="1" si="3"/>
        <v>1</v>
      </c>
      <c r="AD11" s="202">
        <f t="shared" ca="1" si="3"/>
        <v>1</v>
      </c>
      <c r="AE11" s="203">
        <f t="shared" ca="1" si="3"/>
        <v>1</v>
      </c>
      <c r="AF11" s="202">
        <f t="shared" ca="1" si="3"/>
        <v>0.7142857142857143</v>
      </c>
      <c r="AG11" s="205"/>
      <c r="AH11" s="188"/>
      <c r="AI11" s="206"/>
      <c r="AJ11" s="207"/>
      <c r="AK11" s="208"/>
      <c r="AL11" s="209"/>
      <c r="AM11" s="209"/>
      <c r="AN11" s="208"/>
      <c r="AO11" s="209"/>
      <c r="AP11" s="209"/>
      <c r="AQ11" s="201"/>
    </row>
    <row r="12" spans="1:43" s="59" customFormat="1" ht="12" hidden="1" customHeight="1" x14ac:dyDescent="0.2">
      <c r="A12" s="196" t="s">
        <v>169</v>
      </c>
      <c r="B12" s="210">
        <f t="shared" ref="B12:AF12" si="4">IF(OR(AND(ISNUMBER(EB.UJEintritt),EB.UJEintritt&gt;=B$10+1),AND(ISNUMBER(EB.UJAustritt),EB.UJAustritt&lt;=B$10-1)),0,1)</f>
        <v>1</v>
      </c>
      <c r="C12" s="210">
        <f t="shared" si="4"/>
        <v>1</v>
      </c>
      <c r="D12" s="210">
        <f t="shared" si="4"/>
        <v>1</v>
      </c>
      <c r="E12" s="195">
        <f t="shared" si="4"/>
        <v>1</v>
      </c>
      <c r="F12" s="210">
        <f t="shared" si="4"/>
        <v>1</v>
      </c>
      <c r="G12" s="210">
        <f t="shared" si="4"/>
        <v>1</v>
      </c>
      <c r="H12" s="210">
        <f t="shared" si="4"/>
        <v>1</v>
      </c>
      <c r="I12" s="210">
        <f t="shared" si="4"/>
        <v>1</v>
      </c>
      <c r="J12" s="195">
        <f t="shared" si="4"/>
        <v>1</v>
      </c>
      <c r="K12" s="210">
        <f t="shared" si="4"/>
        <v>1</v>
      </c>
      <c r="L12" s="195">
        <f t="shared" si="4"/>
        <v>1</v>
      </c>
      <c r="M12" s="210">
        <f t="shared" si="4"/>
        <v>1</v>
      </c>
      <c r="N12" s="210">
        <f t="shared" si="4"/>
        <v>1</v>
      </c>
      <c r="O12" s="210">
        <f t="shared" si="4"/>
        <v>1</v>
      </c>
      <c r="P12" s="210">
        <f t="shared" si="4"/>
        <v>1</v>
      </c>
      <c r="Q12" s="195">
        <f t="shared" si="4"/>
        <v>1</v>
      </c>
      <c r="R12" s="210">
        <f t="shared" si="4"/>
        <v>1</v>
      </c>
      <c r="S12" s="195">
        <f t="shared" si="4"/>
        <v>1</v>
      </c>
      <c r="T12" s="195">
        <f t="shared" si="4"/>
        <v>1</v>
      </c>
      <c r="U12" s="210">
        <f t="shared" si="4"/>
        <v>1</v>
      </c>
      <c r="V12" s="210">
        <f t="shared" si="4"/>
        <v>1</v>
      </c>
      <c r="W12" s="210">
        <f t="shared" si="4"/>
        <v>1</v>
      </c>
      <c r="X12" s="195">
        <f t="shared" si="4"/>
        <v>1</v>
      </c>
      <c r="Y12" s="210">
        <f t="shared" si="4"/>
        <v>1</v>
      </c>
      <c r="Z12" s="211">
        <f t="shared" si="4"/>
        <v>1</v>
      </c>
      <c r="AA12" s="210">
        <f t="shared" si="4"/>
        <v>1</v>
      </c>
      <c r="AB12" s="210">
        <f t="shared" si="4"/>
        <v>1</v>
      </c>
      <c r="AC12" s="210">
        <f t="shared" si="4"/>
        <v>1</v>
      </c>
      <c r="AD12" s="210">
        <f t="shared" si="4"/>
        <v>1</v>
      </c>
      <c r="AE12" s="195">
        <f t="shared" si="4"/>
        <v>1</v>
      </c>
      <c r="AF12" s="210">
        <f t="shared" si="4"/>
        <v>1</v>
      </c>
      <c r="AG12" s="205"/>
      <c r="AH12" s="188"/>
      <c r="AI12" s="206"/>
      <c r="AJ12" s="207"/>
      <c r="AK12" s="208"/>
      <c r="AL12" s="209"/>
      <c r="AM12" s="209"/>
      <c r="AN12" s="208"/>
      <c r="AO12" s="209"/>
      <c r="AP12" s="209"/>
      <c r="AQ12" s="201"/>
    </row>
    <row r="13" spans="1:43" s="38" customFormat="1" ht="15" customHeight="1" x14ac:dyDescent="0.2">
      <c r="A13" s="212" t="s">
        <v>74</v>
      </c>
      <c r="B13" s="40"/>
      <c r="C13" s="40"/>
      <c r="D13" s="40"/>
      <c r="E13" s="27"/>
      <c r="F13" s="40"/>
      <c r="G13" s="40"/>
      <c r="H13" s="40"/>
      <c r="I13" s="40"/>
      <c r="J13" s="27"/>
      <c r="K13" s="40"/>
      <c r="L13" s="27"/>
      <c r="M13" s="40"/>
      <c r="N13" s="40"/>
      <c r="O13" s="40"/>
      <c r="P13" s="40"/>
      <c r="Q13" s="27"/>
      <c r="R13" s="40"/>
      <c r="S13" s="27"/>
      <c r="T13" s="27"/>
      <c r="U13" s="40"/>
      <c r="V13" s="40"/>
      <c r="W13" s="40"/>
      <c r="X13" s="27"/>
      <c r="Y13" s="40"/>
      <c r="Z13" s="39"/>
      <c r="AA13" s="40"/>
      <c r="AB13" s="40"/>
      <c r="AC13" s="40"/>
      <c r="AD13" s="40"/>
      <c r="AE13" s="27"/>
      <c r="AF13" s="40"/>
      <c r="AG13" s="205" t="str">
        <f t="shared" si="2"/>
        <v>in</v>
      </c>
      <c r="AH13" s="188"/>
      <c r="AI13" s="206"/>
      <c r="AJ13" s="207"/>
      <c r="AK13" s="208"/>
      <c r="AL13" s="209"/>
      <c r="AM13" s="209"/>
      <c r="AN13" s="208"/>
      <c r="AO13" s="209"/>
      <c r="AP13" s="209"/>
      <c r="AQ13" s="119"/>
    </row>
    <row r="14" spans="1:43" s="38" customFormat="1" ht="15" customHeight="1" x14ac:dyDescent="0.2">
      <c r="A14" s="212" t="s">
        <v>75</v>
      </c>
      <c r="B14" s="40"/>
      <c r="C14" s="40"/>
      <c r="D14" s="40"/>
      <c r="E14" s="27"/>
      <c r="F14" s="40"/>
      <c r="G14" s="40"/>
      <c r="H14" s="40"/>
      <c r="I14" s="40"/>
      <c r="J14" s="27"/>
      <c r="K14" s="40"/>
      <c r="L14" s="27"/>
      <c r="M14" s="40"/>
      <c r="N14" s="40"/>
      <c r="O14" s="40"/>
      <c r="P14" s="40"/>
      <c r="Q14" s="27"/>
      <c r="R14" s="40"/>
      <c r="S14" s="27"/>
      <c r="T14" s="27"/>
      <c r="U14" s="40"/>
      <c r="V14" s="40"/>
      <c r="W14" s="40"/>
      <c r="X14" s="27"/>
      <c r="Y14" s="40"/>
      <c r="Z14" s="39"/>
      <c r="AA14" s="40"/>
      <c r="AB14" s="40"/>
      <c r="AC14" s="40"/>
      <c r="AD14" s="40"/>
      <c r="AE14" s="27"/>
      <c r="AF14" s="40"/>
      <c r="AG14" s="205" t="str">
        <f t="shared" si="2"/>
        <v>out</v>
      </c>
      <c r="AH14" s="188"/>
      <c r="AI14" s="206"/>
      <c r="AJ14" s="207"/>
      <c r="AK14" s="208"/>
      <c r="AL14" s="209"/>
      <c r="AM14" s="209"/>
      <c r="AN14" s="208"/>
      <c r="AO14" s="209"/>
      <c r="AP14" s="209"/>
      <c r="AQ14" s="119"/>
    </row>
    <row r="15" spans="1:43" s="38" customFormat="1" ht="15" customHeight="1" x14ac:dyDescent="0.2">
      <c r="A15" s="212" t="s">
        <v>74</v>
      </c>
      <c r="B15" s="40"/>
      <c r="C15" s="40"/>
      <c r="D15" s="40"/>
      <c r="E15" s="27"/>
      <c r="F15" s="40"/>
      <c r="G15" s="40"/>
      <c r="H15" s="40"/>
      <c r="I15" s="40"/>
      <c r="J15" s="27"/>
      <c r="K15" s="40"/>
      <c r="L15" s="27"/>
      <c r="M15" s="40"/>
      <c r="N15" s="40"/>
      <c r="O15" s="40"/>
      <c r="P15" s="40"/>
      <c r="Q15" s="27"/>
      <c r="R15" s="40"/>
      <c r="S15" s="27"/>
      <c r="T15" s="27"/>
      <c r="U15" s="40"/>
      <c r="V15" s="40"/>
      <c r="W15" s="40"/>
      <c r="X15" s="27"/>
      <c r="Y15" s="40"/>
      <c r="Z15" s="39"/>
      <c r="AA15" s="40"/>
      <c r="AB15" s="40"/>
      <c r="AC15" s="40"/>
      <c r="AD15" s="40"/>
      <c r="AE15" s="27"/>
      <c r="AF15" s="40"/>
      <c r="AG15" s="205" t="str">
        <f t="shared" si="2"/>
        <v>in</v>
      </c>
      <c r="AH15" s="188"/>
      <c r="AI15" s="206"/>
      <c r="AJ15" s="207"/>
      <c r="AK15" s="208"/>
      <c r="AL15" s="209"/>
      <c r="AM15" s="209"/>
      <c r="AN15" s="208"/>
      <c r="AO15" s="209"/>
      <c r="AP15" s="209"/>
      <c r="AQ15" s="119"/>
    </row>
    <row r="16" spans="1:43" s="38" customFormat="1" ht="15" customHeight="1" x14ac:dyDescent="0.2">
      <c r="A16" s="212" t="s">
        <v>75</v>
      </c>
      <c r="B16" s="40"/>
      <c r="C16" s="40"/>
      <c r="D16" s="40"/>
      <c r="E16" s="27"/>
      <c r="F16" s="40"/>
      <c r="G16" s="40"/>
      <c r="H16" s="40"/>
      <c r="I16" s="40"/>
      <c r="J16" s="27"/>
      <c r="K16" s="40"/>
      <c r="L16" s="27"/>
      <c r="M16" s="40"/>
      <c r="N16" s="40"/>
      <c r="O16" s="40"/>
      <c r="P16" s="40"/>
      <c r="Q16" s="27"/>
      <c r="R16" s="40"/>
      <c r="S16" s="27"/>
      <c r="T16" s="27"/>
      <c r="U16" s="40"/>
      <c r="V16" s="40"/>
      <c r="W16" s="40"/>
      <c r="X16" s="27"/>
      <c r="Y16" s="40"/>
      <c r="Z16" s="39"/>
      <c r="AA16" s="40"/>
      <c r="AB16" s="40"/>
      <c r="AC16" s="40"/>
      <c r="AD16" s="40"/>
      <c r="AE16" s="27"/>
      <c r="AF16" s="40"/>
      <c r="AG16" s="205" t="str">
        <f t="shared" si="2"/>
        <v>out</v>
      </c>
      <c r="AH16" s="188"/>
      <c r="AI16" s="213"/>
      <c r="AJ16" s="214"/>
      <c r="AK16" s="209"/>
      <c r="AL16" s="209"/>
      <c r="AM16" s="209"/>
      <c r="AN16" s="208"/>
      <c r="AO16" s="209"/>
      <c r="AP16" s="209"/>
      <c r="AQ16" s="119"/>
    </row>
    <row r="17" spans="1:43" s="38" customFormat="1" ht="15" customHeight="1" x14ac:dyDescent="0.2">
      <c r="A17" s="212" t="s">
        <v>74</v>
      </c>
      <c r="B17" s="40"/>
      <c r="C17" s="40"/>
      <c r="D17" s="40"/>
      <c r="E17" s="27"/>
      <c r="F17" s="40"/>
      <c r="G17" s="40"/>
      <c r="H17" s="40"/>
      <c r="I17" s="40"/>
      <c r="J17" s="27"/>
      <c r="K17" s="40"/>
      <c r="L17" s="27"/>
      <c r="M17" s="40"/>
      <c r="N17" s="40"/>
      <c r="O17" s="40"/>
      <c r="P17" s="40"/>
      <c r="Q17" s="27"/>
      <c r="R17" s="40"/>
      <c r="S17" s="27"/>
      <c r="T17" s="27"/>
      <c r="U17" s="40"/>
      <c r="V17" s="40"/>
      <c r="W17" s="40"/>
      <c r="X17" s="27"/>
      <c r="Y17" s="40"/>
      <c r="Z17" s="39"/>
      <c r="AA17" s="40"/>
      <c r="AB17" s="40"/>
      <c r="AC17" s="40"/>
      <c r="AD17" s="40"/>
      <c r="AE17" s="27"/>
      <c r="AF17" s="40"/>
      <c r="AG17" s="205" t="str">
        <f t="shared" si="2"/>
        <v>in</v>
      </c>
      <c r="AH17" s="188"/>
      <c r="AI17" s="213"/>
      <c r="AJ17" s="214"/>
      <c r="AK17" s="209"/>
      <c r="AL17" s="209"/>
      <c r="AM17" s="209"/>
      <c r="AN17" s="208"/>
      <c r="AO17" s="209"/>
      <c r="AP17" s="209"/>
      <c r="AQ17" s="119"/>
    </row>
    <row r="18" spans="1:43" s="38" customFormat="1" ht="15" customHeight="1" x14ac:dyDescent="0.2">
      <c r="A18" s="212" t="s">
        <v>75</v>
      </c>
      <c r="B18" s="40"/>
      <c r="C18" s="40"/>
      <c r="D18" s="40"/>
      <c r="E18" s="27"/>
      <c r="F18" s="40"/>
      <c r="G18" s="40"/>
      <c r="H18" s="40"/>
      <c r="I18" s="40"/>
      <c r="J18" s="27"/>
      <c r="K18" s="40"/>
      <c r="L18" s="27"/>
      <c r="M18" s="40"/>
      <c r="N18" s="40"/>
      <c r="O18" s="40"/>
      <c r="P18" s="40"/>
      <c r="Q18" s="27"/>
      <c r="R18" s="40"/>
      <c r="S18" s="27"/>
      <c r="T18" s="27"/>
      <c r="U18" s="40"/>
      <c r="V18" s="40"/>
      <c r="W18" s="40"/>
      <c r="X18" s="27"/>
      <c r="Y18" s="40"/>
      <c r="Z18" s="39"/>
      <c r="AA18" s="40"/>
      <c r="AB18" s="40"/>
      <c r="AC18" s="40"/>
      <c r="AD18" s="40"/>
      <c r="AE18" s="27"/>
      <c r="AF18" s="40"/>
      <c r="AG18" s="205" t="str">
        <f t="shared" si="2"/>
        <v>out</v>
      </c>
      <c r="AH18" s="188"/>
      <c r="AI18" s="213"/>
      <c r="AJ18" s="214"/>
      <c r="AK18" s="209"/>
      <c r="AL18" s="209"/>
      <c r="AM18" s="209"/>
      <c r="AN18" s="208"/>
      <c r="AO18" s="209"/>
      <c r="AP18" s="209"/>
      <c r="AQ18" s="119"/>
    </row>
    <row r="19" spans="1:43" s="38" customFormat="1" ht="15" hidden="1" customHeight="1" outlineLevel="1" x14ac:dyDescent="0.2">
      <c r="A19" s="212" t="s">
        <v>74</v>
      </c>
      <c r="B19" s="40"/>
      <c r="C19" s="40"/>
      <c r="D19" s="40"/>
      <c r="E19" s="27"/>
      <c r="F19" s="40"/>
      <c r="G19" s="40"/>
      <c r="H19" s="40"/>
      <c r="I19" s="40"/>
      <c r="J19" s="27"/>
      <c r="K19" s="40"/>
      <c r="L19" s="27"/>
      <c r="M19" s="40"/>
      <c r="N19" s="40"/>
      <c r="O19" s="40"/>
      <c r="P19" s="40"/>
      <c r="Q19" s="27"/>
      <c r="R19" s="40"/>
      <c r="S19" s="27"/>
      <c r="T19" s="27"/>
      <c r="U19" s="40"/>
      <c r="V19" s="40"/>
      <c r="W19" s="40"/>
      <c r="X19" s="27"/>
      <c r="Y19" s="40"/>
      <c r="Z19" s="39"/>
      <c r="AA19" s="40"/>
      <c r="AB19" s="40"/>
      <c r="AC19" s="40"/>
      <c r="AD19" s="40"/>
      <c r="AE19" s="27"/>
      <c r="AF19" s="40"/>
      <c r="AG19" s="205" t="str">
        <f t="shared" si="2"/>
        <v>in</v>
      </c>
      <c r="AH19" s="188"/>
      <c r="AI19" s="213"/>
      <c r="AJ19" s="214"/>
      <c r="AK19" s="209"/>
      <c r="AL19" s="209"/>
      <c r="AM19" s="209"/>
      <c r="AN19" s="208"/>
      <c r="AO19" s="209"/>
      <c r="AP19" s="209"/>
      <c r="AQ19" s="119"/>
    </row>
    <row r="20" spans="1:43" s="38" customFormat="1" ht="15" hidden="1" customHeight="1" outlineLevel="1" x14ac:dyDescent="0.2">
      <c r="A20" s="212" t="s">
        <v>75</v>
      </c>
      <c r="B20" s="40"/>
      <c r="C20" s="40"/>
      <c r="D20" s="40"/>
      <c r="E20" s="27"/>
      <c r="F20" s="40"/>
      <c r="G20" s="40"/>
      <c r="H20" s="40"/>
      <c r="I20" s="40"/>
      <c r="J20" s="27"/>
      <c r="K20" s="40"/>
      <c r="L20" s="27"/>
      <c r="M20" s="40"/>
      <c r="N20" s="40"/>
      <c r="O20" s="40"/>
      <c r="P20" s="40"/>
      <c r="Q20" s="27"/>
      <c r="R20" s="40"/>
      <c r="S20" s="27"/>
      <c r="T20" s="27"/>
      <c r="U20" s="40"/>
      <c r="V20" s="40"/>
      <c r="W20" s="40"/>
      <c r="X20" s="27"/>
      <c r="Y20" s="40"/>
      <c r="Z20" s="39"/>
      <c r="AA20" s="40"/>
      <c r="AB20" s="40"/>
      <c r="AC20" s="40"/>
      <c r="AD20" s="40"/>
      <c r="AE20" s="27"/>
      <c r="AF20" s="40"/>
      <c r="AG20" s="205" t="str">
        <f t="shared" si="2"/>
        <v>out</v>
      </c>
      <c r="AH20" s="188"/>
      <c r="AI20" s="213"/>
      <c r="AJ20" s="214"/>
      <c r="AK20" s="209"/>
      <c r="AL20" s="209"/>
      <c r="AM20" s="209"/>
      <c r="AN20" s="208"/>
      <c r="AO20" s="209"/>
      <c r="AP20" s="209"/>
      <c r="AQ20" s="119"/>
    </row>
    <row r="21" spans="1:43" s="38" customFormat="1" ht="15" hidden="1" customHeight="1" outlineLevel="1" x14ac:dyDescent="0.2">
      <c r="A21" s="212" t="s">
        <v>74</v>
      </c>
      <c r="B21" s="40"/>
      <c r="C21" s="40"/>
      <c r="D21" s="40"/>
      <c r="E21" s="27"/>
      <c r="F21" s="40"/>
      <c r="G21" s="40"/>
      <c r="H21" s="40"/>
      <c r="I21" s="40"/>
      <c r="J21" s="27"/>
      <c r="K21" s="40"/>
      <c r="L21" s="27"/>
      <c r="M21" s="40"/>
      <c r="N21" s="40"/>
      <c r="O21" s="40"/>
      <c r="P21" s="40"/>
      <c r="Q21" s="27"/>
      <c r="R21" s="40"/>
      <c r="S21" s="27"/>
      <c r="T21" s="27"/>
      <c r="U21" s="40"/>
      <c r="V21" s="40"/>
      <c r="W21" s="40"/>
      <c r="X21" s="27"/>
      <c r="Y21" s="40"/>
      <c r="Z21" s="39"/>
      <c r="AA21" s="40"/>
      <c r="AB21" s="40"/>
      <c r="AC21" s="40"/>
      <c r="AD21" s="40"/>
      <c r="AE21" s="27"/>
      <c r="AF21" s="40"/>
      <c r="AG21" s="205" t="str">
        <f t="shared" si="2"/>
        <v>in</v>
      </c>
      <c r="AH21" s="188"/>
      <c r="AI21" s="213"/>
      <c r="AJ21" s="214"/>
      <c r="AK21" s="209"/>
      <c r="AL21" s="209"/>
      <c r="AM21" s="209"/>
      <c r="AN21" s="208"/>
      <c r="AO21" s="209"/>
      <c r="AP21" s="209"/>
      <c r="AQ21" s="119"/>
    </row>
    <row r="22" spans="1:43" s="38" customFormat="1" ht="15" hidden="1" customHeight="1" outlineLevel="1" x14ac:dyDescent="0.2">
      <c r="A22" s="212" t="s">
        <v>75</v>
      </c>
      <c r="B22" s="40"/>
      <c r="C22" s="40"/>
      <c r="D22" s="40"/>
      <c r="E22" s="27"/>
      <c r="F22" s="40"/>
      <c r="G22" s="40"/>
      <c r="H22" s="40"/>
      <c r="I22" s="40"/>
      <c r="J22" s="27"/>
      <c r="K22" s="40"/>
      <c r="L22" s="27"/>
      <c r="M22" s="40"/>
      <c r="N22" s="40"/>
      <c r="O22" s="40"/>
      <c r="P22" s="40"/>
      <c r="Q22" s="27"/>
      <c r="R22" s="40"/>
      <c r="S22" s="27"/>
      <c r="T22" s="27"/>
      <c r="U22" s="40"/>
      <c r="V22" s="40"/>
      <c r="W22" s="40"/>
      <c r="X22" s="27"/>
      <c r="Y22" s="40"/>
      <c r="Z22" s="39"/>
      <c r="AA22" s="40"/>
      <c r="AB22" s="40"/>
      <c r="AC22" s="40"/>
      <c r="AD22" s="40"/>
      <c r="AE22" s="27"/>
      <c r="AF22" s="40"/>
      <c r="AG22" s="205" t="str">
        <f t="shared" si="2"/>
        <v>out</v>
      </c>
      <c r="AH22" s="188"/>
      <c r="AI22" s="213"/>
      <c r="AJ22" s="214"/>
      <c r="AK22" s="209"/>
      <c r="AL22" s="209"/>
      <c r="AM22" s="209"/>
      <c r="AN22" s="208"/>
      <c r="AO22" s="209"/>
      <c r="AP22" s="209"/>
      <c r="AQ22" s="119"/>
    </row>
    <row r="23" spans="1:43" s="38" customFormat="1" ht="15" customHeight="1" collapsed="1" x14ac:dyDescent="0.2">
      <c r="A23" s="215" t="s">
        <v>204</v>
      </c>
      <c r="B23" s="216">
        <f>ROUND(((B14-B13)+(B16-B15)+(B18-B17)+(B20-B19)+(B22-B21))*1440,0)/1440</f>
        <v>0</v>
      </c>
      <c r="C23" s="216">
        <f t="shared" ref="C23:AF23" si="5">ROUND(((C14-C13)+(C16-C15)+(C18-C17)+(C20-C19)+(C22-C21))*1440,0)/1440</f>
        <v>0</v>
      </c>
      <c r="D23" s="216">
        <f t="shared" si="5"/>
        <v>0</v>
      </c>
      <c r="E23" s="216">
        <f t="shared" si="5"/>
        <v>0</v>
      </c>
      <c r="F23" s="216">
        <f t="shared" si="5"/>
        <v>0</v>
      </c>
      <c r="G23" s="216">
        <f t="shared" si="5"/>
        <v>0</v>
      </c>
      <c r="H23" s="216">
        <f t="shared" si="5"/>
        <v>0</v>
      </c>
      <c r="I23" s="216">
        <f t="shared" si="5"/>
        <v>0</v>
      </c>
      <c r="J23" s="216">
        <f t="shared" si="5"/>
        <v>0</v>
      </c>
      <c r="K23" s="216">
        <f t="shared" si="5"/>
        <v>0</v>
      </c>
      <c r="L23" s="216">
        <f t="shared" si="5"/>
        <v>0</v>
      </c>
      <c r="M23" s="216">
        <f t="shared" si="5"/>
        <v>0</v>
      </c>
      <c r="N23" s="216">
        <f t="shared" si="5"/>
        <v>0</v>
      </c>
      <c r="O23" s="216">
        <f t="shared" si="5"/>
        <v>0</v>
      </c>
      <c r="P23" s="216">
        <f t="shared" si="5"/>
        <v>0</v>
      </c>
      <c r="Q23" s="216">
        <f t="shared" si="5"/>
        <v>0</v>
      </c>
      <c r="R23" s="216">
        <f t="shared" si="5"/>
        <v>0</v>
      </c>
      <c r="S23" s="216">
        <f t="shared" si="5"/>
        <v>0</v>
      </c>
      <c r="T23" s="216">
        <f t="shared" si="5"/>
        <v>0</v>
      </c>
      <c r="U23" s="216">
        <f t="shared" si="5"/>
        <v>0</v>
      </c>
      <c r="V23" s="216">
        <f t="shared" si="5"/>
        <v>0</v>
      </c>
      <c r="W23" s="216">
        <f t="shared" si="5"/>
        <v>0</v>
      </c>
      <c r="X23" s="216">
        <f t="shared" si="5"/>
        <v>0</v>
      </c>
      <c r="Y23" s="216">
        <f t="shared" si="5"/>
        <v>0</v>
      </c>
      <c r="Z23" s="216">
        <f t="shared" si="5"/>
        <v>0</v>
      </c>
      <c r="AA23" s="216">
        <f t="shared" si="5"/>
        <v>0</v>
      </c>
      <c r="AB23" s="216">
        <f t="shared" si="5"/>
        <v>0</v>
      </c>
      <c r="AC23" s="216">
        <f t="shared" si="5"/>
        <v>0</v>
      </c>
      <c r="AD23" s="216">
        <f t="shared" si="5"/>
        <v>0</v>
      </c>
      <c r="AE23" s="216">
        <f t="shared" si="5"/>
        <v>0</v>
      </c>
      <c r="AF23" s="216">
        <f t="shared" si="5"/>
        <v>0</v>
      </c>
      <c r="AG23" s="217" t="str">
        <f t="shared" si="2"/>
        <v>Total in/out</v>
      </c>
      <c r="AH23" s="218"/>
      <c r="AI23" s="219">
        <f>SUM(B23:AF23)</f>
        <v>0</v>
      </c>
      <c r="AJ23" s="214"/>
      <c r="AK23" s="209"/>
      <c r="AL23" s="209"/>
      <c r="AM23" s="209"/>
      <c r="AN23" s="208"/>
      <c r="AO23" s="209"/>
      <c r="AP23" s="209"/>
      <c r="AQ23" s="119"/>
    </row>
    <row r="24" spans="1:43" s="38" customFormat="1" ht="3.75" hidden="1" customHeight="1" outlineLevel="1" x14ac:dyDescent="0.2">
      <c r="A24" s="220"/>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2"/>
      <c r="AG24" s="205"/>
      <c r="AH24" s="188"/>
      <c r="AI24" s="213"/>
      <c r="AJ24" s="214"/>
      <c r="AK24" s="209"/>
      <c r="AL24" s="209"/>
      <c r="AM24" s="209"/>
      <c r="AN24" s="208"/>
      <c r="AO24" s="209"/>
      <c r="AP24" s="209"/>
      <c r="AQ24" s="119"/>
    </row>
    <row r="25" spans="1:43" s="38" customFormat="1" ht="15" hidden="1" customHeight="1" outlineLevel="1" x14ac:dyDescent="0.2">
      <c r="A25" s="212" t="s">
        <v>164</v>
      </c>
      <c r="B25" s="40"/>
      <c r="C25" s="40"/>
      <c r="D25" s="40"/>
      <c r="E25" s="77"/>
      <c r="F25" s="40"/>
      <c r="G25" s="40"/>
      <c r="H25" s="40"/>
      <c r="I25" s="40"/>
      <c r="J25" s="40"/>
      <c r="K25" s="40"/>
      <c r="L25" s="40"/>
      <c r="M25" s="40"/>
      <c r="N25" s="40"/>
      <c r="O25" s="40"/>
      <c r="P25" s="40"/>
      <c r="Q25" s="40"/>
      <c r="R25" s="40"/>
      <c r="S25" s="40"/>
      <c r="T25" s="40"/>
      <c r="U25" s="40"/>
      <c r="V25" s="40"/>
      <c r="W25" s="40"/>
      <c r="X25" s="40"/>
      <c r="Y25" s="40"/>
      <c r="Z25" s="47"/>
      <c r="AA25" s="40"/>
      <c r="AB25" s="40"/>
      <c r="AC25" s="40"/>
      <c r="AD25" s="40"/>
      <c r="AE25" s="40"/>
      <c r="AF25" s="40"/>
      <c r="AG25" s="205" t="str">
        <f t="shared" ref="AG25:AG30" si="6">A25</f>
        <v>paid break in</v>
      </c>
      <c r="AH25" s="188"/>
      <c r="AI25" s="213"/>
      <c r="AJ25" s="214"/>
      <c r="AK25" s="209"/>
      <c r="AL25" s="209"/>
      <c r="AM25" s="209"/>
      <c r="AN25" s="208"/>
      <c r="AO25" s="209"/>
      <c r="AP25" s="209"/>
      <c r="AQ25" s="119"/>
    </row>
    <row r="26" spans="1:43" s="38" customFormat="1" ht="15" hidden="1" customHeight="1" outlineLevel="1" x14ac:dyDescent="0.2">
      <c r="A26" s="212" t="s">
        <v>165</v>
      </c>
      <c r="B26" s="40"/>
      <c r="C26" s="40"/>
      <c r="D26" s="40"/>
      <c r="E26" s="40"/>
      <c r="F26" s="40"/>
      <c r="G26" s="40"/>
      <c r="H26" s="40"/>
      <c r="I26" s="40"/>
      <c r="J26" s="40"/>
      <c r="K26" s="40"/>
      <c r="L26" s="40"/>
      <c r="M26" s="40"/>
      <c r="N26" s="40"/>
      <c r="O26" s="40"/>
      <c r="P26" s="40"/>
      <c r="Q26" s="40"/>
      <c r="R26" s="40"/>
      <c r="S26" s="40"/>
      <c r="T26" s="40"/>
      <c r="U26" s="40"/>
      <c r="V26" s="40"/>
      <c r="W26" s="40"/>
      <c r="X26" s="40"/>
      <c r="Y26" s="40"/>
      <c r="Z26" s="47"/>
      <c r="AA26" s="40"/>
      <c r="AB26" s="40"/>
      <c r="AC26" s="40"/>
      <c r="AD26" s="40"/>
      <c r="AE26" s="40"/>
      <c r="AF26" s="40"/>
      <c r="AG26" s="205" t="str">
        <f t="shared" si="6"/>
        <v>paid break out</v>
      </c>
      <c r="AH26" s="188"/>
      <c r="AI26" s="213"/>
      <c r="AJ26" s="214"/>
      <c r="AK26" s="209"/>
      <c r="AL26" s="209"/>
      <c r="AM26" s="209"/>
      <c r="AN26" s="208"/>
      <c r="AO26" s="209"/>
      <c r="AP26" s="209"/>
      <c r="AQ26" s="119"/>
    </row>
    <row r="27" spans="1:43" s="38" customFormat="1" ht="15" hidden="1" customHeight="1" outlineLevel="1" x14ac:dyDescent="0.2">
      <c r="A27" s="212" t="s">
        <v>164</v>
      </c>
      <c r="B27" s="40"/>
      <c r="C27" s="40"/>
      <c r="D27" s="40"/>
      <c r="E27" s="40"/>
      <c r="F27" s="40"/>
      <c r="G27" s="40"/>
      <c r="H27" s="40"/>
      <c r="I27" s="40"/>
      <c r="J27" s="40"/>
      <c r="K27" s="40"/>
      <c r="L27" s="40"/>
      <c r="M27" s="40"/>
      <c r="N27" s="40"/>
      <c r="O27" s="40"/>
      <c r="P27" s="40"/>
      <c r="Q27" s="40"/>
      <c r="R27" s="40"/>
      <c r="S27" s="40"/>
      <c r="T27" s="40"/>
      <c r="U27" s="40"/>
      <c r="V27" s="40"/>
      <c r="W27" s="40"/>
      <c r="X27" s="40"/>
      <c r="Y27" s="40"/>
      <c r="Z27" s="47"/>
      <c r="AA27" s="40"/>
      <c r="AB27" s="40"/>
      <c r="AC27" s="40"/>
      <c r="AD27" s="40"/>
      <c r="AE27" s="40"/>
      <c r="AF27" s="40"/>
      <c r="AG27" s="205" t="str">
        <f t="shared" si="6"/>
        <v>paid break in</v>
      </c>
      <c r="AH27" s="188"/>
      <c r="AI27" s="213"/>
      <c r="AJ27" s="214"/>
      <c r="AK27" s="209"/>
      <c r="AL27" s="209"/>
      <c r="AM27" s="209"/>
      <c r="AN27" s="208"/>
      <c r="AO27" s="209"/>
      <c r="AP27" s="209"/>
      <c r="AQ27" s="119"/>
    </row>
    <row r="28" spans="1:43" s="38" customFormat="1" ht="15" hidden="1" customHeight="1" outlineLevel="1" x14ac:dyDescent="0.2">
      <c r="A28" s="212" t="s">
        <v>165</v>
      </c>
      <c r="B28" s="40"/>
      <c r="C28" s="40"/>
      <c r="D28" s="40"/>
      <c r="E28" s="40"/>
      <c r="F28" s="40"/>
      <c r="G28" s="40"/>
      <c r="H28" s="40"/>
      <c r="I28" s="40"/>
      <c r="J28" s="40"/>
      <c r="K28" s="40"/>
      <c r="L28" s="40"/>
      <c r="M28" s="40"/>
      <c r="N28" s="40"/>
      <c r="O28" s="40"/>
      <c r="P28" s="40"/>
      <c r="Q28" s="40"/>
      <c r="R28" s="40"/>
      <c r="S28" s="40"/>
      <c r="T28" s="40"/>
      <c r="U28" s="40"/>
      <c r="V28" s="40"/>
      <c r="W28" s="40"/>
      <c r="X28" s="40"/>
      <c r="Y28" s="40"/>
      <c r="Z28" s="47"/>
      <c r="AA28" s="40"/>
      <c r="AB28" s="40"/>
      <c r="AC28" s="40"/>
      <c r="AD28" s="40"/>
      <c r="AE28" s="40"/>
      <c r="AF28" s="40"/>
      <c r="AG28" s="205" t="str">
        <f t="shared" si="6"/>
        <v>paid break out</v>
      </c>
      <c r="AH28" s="188"/>
      <c r="AI28" s="213"/>
      <c r="AJ28" s="214"/>
      <c r="AK28" s="209"/>
      <c r="AL28" s="209"/>
      <c r="AM28" s="209"/>
      <c r="AN28" s="208"/>
      <c r="AO28" s="209"/>
      <c r="AP28" s="209"/>
      <c r="AQ28" s="119"/>
    </row>
    <row r="29" spans="1:43" s="38" customFormat="1" ht="15" hidden="1" customHeight="1" outlineLevel="1" x14ac:dyDescent="0.2">
      <c r="A29" s="212" t="s">
        <v>164</v>
      </c>
      <c r="B29" s="40"/>
      <c r="C29" s="40"/>
      <c r="D29" s="40"/>
      <c r="E29" s="40"/>
      <c r="F29" s="40"/>
      <c r="G29" s="40"/>
      <c r="H29" s="40"/>
      <c r="I29" s="40"/>
      <c r="J29" s="40"/>
      <c r="K29" s="40"/>
      <c r="L29" s="40"/>
      <c r="M29" s="40"/>
      <c r="N29" s="40"/>
      <c r="O29" s="40"/>
      <c r="P29" s="40"/>
      <c r="Q29" s="40"/>
      <c r="R29" s="40"/>
      <c r="S29" s="40"/>
      <c r="T29" s="40"/>
      <c r="U29" s="40"/>
      <c r="V29" s="40"/>
      <c r="W29" s="40"/>
      <c r="X29" s="40"/>
      <c r="Y29" s="40"/>
      <c r="Z29" s="47"/>
      <c r="AA29" s="40"/>
      <c r="AB29" s="40"/>
      <c r="AC29" s="40"/>
      <c r="AD29" s="40"/>
      <c r="AE29" s="40"/>
      <c r="AF29" s="40"/>
      <c r="AG29" s="205" t="str">
        <f t="shared" si="6"/>
        <v>paid break in</v>
      </c>
      <c r="AH29" s="188"/>
      <c r="AI29" s="213"/>
      <c r="AJ29" s="214"/>
      <c r="AK29" s="209"/>
      <c r="AL29" s="209"/>
      <c r="AM29" s="209"/>
      <c r="AN29" s="208"/>
      <c r="AO29" s="209"/>
      <c r="AP29" s="209"/>
      <c r="AQ29" s="119"/>
    </row>
    <row r="30" spans="1:43" s="38" customFormat="1" ht="15" hidden="1" customHeight="1" outlineLevel="1" x14ac:dyDescent="0.2">
      <c r="A30" s="212" t="s">
        <v>165</v>
      </c>
      <c r="B30" s="40"/>
      <c r="C30" s="40"/>
      <c r="D30" s="40"/>
      <c r="E30" s="40"/>
      <c r="F30" s="40"/>
      <c r="G30" s="40"/>
      <c r="H30" s="40"/>
      <c r="I30" s="40"/>
      <c r="J30" s="40"/>
      <c r="K30" s="40"/>
      <c r="L30" s="40"/>
      <c r="M30" s="40"/>
      <c r="N30" s="40"/>
      <c r="O30" s="40"/>
      <c r="P30" s="40"/>
      <c r="Q30" s="40"/>
      <c r="R30" s="40"/>
      <c r="S30" s="40"/>
      <c r="T30" s="40"/>
      <c r="U30" s="40"/>
      <c r="V30" s="40"/>
      <c r="W30" s="40"/>
      <c r="X30" s="40"/>
      <c r="Y30" s="40"/>
      <c r="Z30" s="47"/>
      <c r="AA30" s="40"/>
      <c r="AB30" s="40"/>
      <c r="AC30" s="40"/>
      <c r="AD30" s="40"/>
      <c r="AE30" s="40"/>
      <c r="AF30" s="40"/>
      <c r="AG30" s="205" t="str">
        <f t="shared" si="6"/>
        <v>paid break out</v>
      </c>
      <c r="AH30" s="188"/>
      <c r="AI30" s="213"/>
      <c r="AJ30" s="214"/>
      <c r="AK30" s="209"/>
      <c r="AL30" s="209"/>
      <c r="AM30" s="209"/>
      <c r="AN30" s="208"/>
      <c r="AO30" s="209"/>
      <c r="AP30" s="209"/>
      <c r="AQ30" s="119"/>
    </row>
    <row r="31" spans="1:43" s="38" customFormat="1" ht="3.75" hidden="1" customHeight="1" outlineLevel="1" x14ac:dyDescent="0.2">
      <c r="A31" s="220"/>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4"/>
      <c r="AG31" s="205"/>
      <c r="AH31" s="188"/>
      <c r="AI31" s="213"/>
      <c r="AJ31" s="214"/>
      <c r="AK31" s="209"/>
      <c r="AL31" s="209"/>
      <c r="AM31" s="209"/>
      <c r="AN31" s="208"/>
      <c r="AO31" s="209"/>
      <c r="AP31" s="209"/>
      <c r="AQ31" s="119"/>
    </row>
    <row r="32" spans="1:43" s="38" customFormat="1" ht="15" hidden="1" customHeight="1" outlineLevel="1" x14ac:dyDescent="0.2">
      <c r="A32" s="215" t="s">
        <v>205</v>
      </c>
      <c r="B32" s="225">
        <f>ROUND((IF(MAX(0,B15-B14)&lt;1/24/60*180,MAX(0,B15-B14),0)+IF(MAX(0,B17-B16)&lt;1/24/60*180,MAX(0,B17-B16),0)+IF(MAX(0,B19-B18)&lt;1/24/60*180,MAX(0,B19-B18),0)+IF(MAX(0,B21-B20)&lt;1/24/60*180,MAX(0,B21-B20))+MAX(0,B26-B25)+MAX(0,B28-B27)+MAX(0,B30-B29))*1440,0)/1440</f>
        <v>0</v>
      </c>
      <c r="C32" s="225">
        <f t="shared" ref="C32:AF32" si="7">ROUND((IF(MAX(0,C15-C14)&lt;1/24/60*180,MAX(0,C15-C14),0)+IF(MAX(0,C17-C16)&lt;1/24/60*180,MAX(0,C17-C16),0)+IF(MAX(0,C19-C18)&lt;1/24/60*180,MAX(0,C19-C18),0)+IF(MAX(0,C21-C20)&lt;1/24/60*180,MAX(0,C21-C20))+MAX(0,C26-C25)+MAX(0,C28-C27)+MAX(0,C30-C29))*1440,0)/1440</f>
        <v>0</v>
      </c>
      <c r="D32" s="225">
        <f t="shared" si="7"/>
        <v>0</v>
      </c>
      <c r="E32" s="225">
        <f t="shared" si="7"/>
        <v>0</v>
      </c>
      <c r="F32" s="225">
        <f t="shared" si="7"/>
        <v>0</v>
      </c>
      <c r="G32" s="225">
        <f t="shared" si="7"/>
        <v>0</v>
      </c>
      <c r="H32" s="225">
        <f t="shared" si="7"/>
        <v>0</v>
      </c>
      <c r="I32" s="225">
        <f t="shared" si="7"/>
        <v>0</v>
      </c>
      <c r="J32" s="225">
        <f t="shared" si="7"/>
        <v>0</v>
      </c>
      <c r="K32" s="225">
        <f t="shared" si="7"/>
        <v>0</v>
      </c>
      <c r="L32" s="225">
        <f t="shared" si="7"/>
        <v>0</v>
      </c>
      <c r="M32" s="225">
        <f t="shared" si="7"/>
        <v>0</v>
      </c>
      <c r="N32" s="225">
        <f t="shared" si="7"/>
        <v>0</v>
      </c>
      <c r="O32" s="225">
        <f t="shared" si="7"/>
        <v>0</v>
      </c>
      <c r="P32" s="225">
        <f t="shared" si="7"/>
        <v>0</v>
      </c>
      <c r="Q32" s="225">
        <f t="shared" si="7"/>
        <v>0</v>
      </c>
      <c r="R32" s="225">
        <f t="shared" si="7"/>
        <v>0</v>
      </c>
      <c r="S32" s="225">
        <f t="shared" si="7"/>
        <v>0</v>
      </c>
      <c r="T32" s="225">
        <f t="shared" si="7"/>
        <v>0</v>
      </c>
      <c r="U32" s="225">
        <f t="shared" si="7"/>
        <v>0</v>
      </c>
      <c r="V32" s="225">
        <f t="shared" si="7"/>
        <v>0</v>
      </c>
      <c r="W32" s="225">
        <f t="shared" si="7"/>
        <v>0</v>
      </c>
      <c r="X32" s="225">
        <f t="shared" si="7"/>
        <v>0</v>
      </c>
      <c r="Y32" s="225">
        <f t="shared" si="7"/>
        <v>0</v>
      </c>
      <c r="Z32" s="225">
        <f t="shared" si="7"/>
        <v>0</v>
      </c>
      <c r="AA32" s="225">
        <f t="shared" si="7"/>
        <v>0</v>
      </c>
      <c r="AB32" s="225">
        <f t="shared" si="7"/>
        <v>0</v>
      </c>
      <c r="AC32" s="225">
        <f t="shared" si="7"/>
        <v>0</v>
      </c>
      <c r="AD32" s="225">
        <f t="shared" si="7"/>
        <v>0</v>
      </c>
      <c r="AE32" s="225">
        <f t="shared" si="7"/>
        <v>0</v>
      </c>
      <c r="AF32" s="225">
        <f t="shared" si="7"/>
        <v>0</v>
      </c>
      <c r="AG32" s="217" t="str">
        <f t="shared" ref="AG32" si="8">A32</f>
        <v>Total breaks (in out/paid)</v>
      </c>
      <c r="AH32" s="218"/>
      <c r="AI32" s="219">
        <f>SUM(B32:AF32)</f>
        <v>0</v>
      </c>
      <c r="AJ32" s="214"/>
      <c r="AK32" s="209"/>
      <c r="AL32" s="209"/>
      <c r="AM32" s="209"/>
      <c r="AN32" s="208"/>
      <c r="AO32" s="209"/>
      <c r="AP32" s="209"/>
      <c r="AQ32" s="119"/>
    </row>
    <row r="33" spans="1:43" s="38" customFormat="1" ht="3.75" customHeight="1" collapsed="1" x14ac:dyDescent="0.2">
      <c r="A33" s="220"/>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7"/>
      <c r="AG33" s="205"/>
      <c r="AH33" s="188"/>
      <c r="AI33" s="213"/>
      <c r="AJ33" s="214"/>
      <c r="AK33" s="209"/>
      <c r="AL33" s="209"/>
      <c r="AM33" s="209"/>
      <c r="AN33" s="208"/>
      <c r="AO33" s="209"/>
      <c r="AP33" s="209"/>
      <c r="AQ33" s="119"/>
    </row>
    <row r="34" spans="1:43" s="38" customFormat="1" ht="15" customHeight="1" outlineLevel="1" x14ac:dyDescent="0.2">
      <c r="A34" s="212" t="s">
        <v>206</v>
      </c>
      <c r="B34" s="92" t="str">
        <f ca="1">IF(EB.Anwendung&lt;&gt;"",IF(EB.Wochenarbeitszeit=50/24,INDEX(T.Pikett.Bereich,1),IF(DAY(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34="B",INDEX(T.Pikett.Bereich,4),IF(A34="E",INDEX(T.Pikett.Bereich,1),A34)))),"")</f>
        <v>No</v>
      </c>
      <c r="C34" s="92" t="str">
        <f ca="1">IF(EB.Anwendung&lt;&gt;"",IF(EB.Wochenarbeitszeit=50/24,INDEX(T.Pikett.Bereich,1),IF(DAY(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B34="B",INDEX(T.Pikett.Bereich,4),IF(B34="E",INDEX(T.Pikett.Bereich,1),B34)))),"")</f>
        <v>No</v>
      </c>
      <c r="D34" s="92" t="str">
        <f ca="1">IF(EB.Anwendung&lt;&gt;"",IF(EB.Wochenarbeitszeit=50/24,INDEX(T.Pikett.Bereich,1),IF(DAY(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C34="B",INDEX(T.Pikett.Bereich,4),IF(C34="E",INDEX(T.Pikett.Bereich,1),C34)))),"")</f>
        <v>No</v>
      </c>
      <c r="E34" s="92" t="str">
        <f ca="1">IF(EB.Anwendung&lt;&gt;"",IF(EB.Wochenarbeitszeit=50/24,INDEX(T.Pikett.Bereich,1),IF(DAY(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D34="B",INDEX(T.Pikett.Bereich,4),IF(D34="E",INDEX(T.Pikett.Bereich,1),D34)))),"")</f>
        <v>No</v>
      </c>
      <c r="F34" s="92" t="str">
        <f ca="1">IF(EB.Anwendung&lt;&gt;"",IF(EB.Wochenarbeitszeit=50/24,INDEX(T.Pikett.Bereich,1),IF(DAY(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E34="B",INDEX(T.Pikett.Bereich,4),IF(E34="E",INDEX(T.Pikett.Bereich,1),E34)))),"")</f>
        <v>No</v>
      </c>
      <c r="G34" s="92" t="str">
        <f ca="1">IF(EB.Anwendung&lt;&gt;"",IF(EB.Wochenarbeitszeit=50/24,INDEX(T.Pikett.Bereich,1),IF(DAY(G$10)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F34="B",INDEX(T.Pikett.Bereich,4),IF(F34="E",INDEX(T.Pikett.Bereich,1),F34)))),"")</f>
        <v>No</v>
      </c>
      <c r="H34" s="92" t="str">
        <f ca="1">IF(EB.Anwendung&lt;&gt;"",IF(EB.Wochenarbeitszeit=50/24,INDEX(T.Pikett.Bereich,1),IF(DAY(H$10)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G34="B",INDEX(T.Pikett.Bereich,4),IF(G34="E",INDEX(T.Pikett.Bereich,1),G34)))),"")</f>
        <v>No</v>
      </c>
      <c r="I34" s="92" t="str">
        <f ca="1">IF(EB.Anwendung&lt;&gt;"",IF(EB.Wochenarbeitszeit=50/24,INDEX(T.Pikett.Bereich,1),IF(DAY(I$10)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H34="B",INDEX(T.Pikett.Bereich,4),IF(H34="E",INDEX(T.Pikett.Bereich,1),H34)))),"")</f>
        <v>No</v>
      </c>
      <c r="J34" s="92" t="str">
        <f ca="1">IF(EB.Anwendung&lt;&gt;"",IF(EB.Wochenarbeitszeit=50/24,INDEX(T.Pikett.Bereich,1),IF(DAY(J$10)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I34="B",INDEX(T.Pikett.Bereich,4),IF(I34="E",INDEX(T.Pikett.Bereich,1),I34)))),"")</f>
        <v>No</v>
      </c>
      <c r="K34" s="92" t="str">
        <f ca="1">IF(EB.Anwendung&lt;&gt;"",IF(EB.Wochenarbeitszeit=50/24,INDEX(T.Pikett.Bereich,1),IF(DAY(K$10)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J34="B",INDEX(T.Pikett.Bereich,4),IF(J34="E",INDEX(T.Pikett.Bereich,1),J34)))),"")</f>
        <v>No</v>
      </c>
      <c r="L34" s="92" t="str">
        <f ca="1">IF(EB.Anwendung&lt;&gt;"",IF(EB.Wochenarbeitszeit=50/24,INDEX(T.Pikett.Bereich,1),IF(DAY(L$10)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K34="B",INDEX(T.Pikett.Bereich,4),IF(K34="E",INDEX(T.Pikett.Bereich,1),K34)))),"")</f>
        <v>No</v>
      </c>
      <c r="M34" s="92" t="str">
        <f ca="1">IF(EB.Anwendung&lt;&gt;"",IF(EB.Wochenarbeitszeit=50/24,INDEX(T.Pikett.Bereich,1),IF(DAY(M$10)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L34="B",INDEX(T.Pikett.Bereich,4),IF(L34="E",INDEX(T.Pikett.Bereich,1),L34)))),"")</f>
        <v>No</v>
      </c>
      <c r="N34" s="92" t="str">
        <f ca="1">IF(EB.Anwendung&lt;&gt;"",IF(EB.Wochenarbeitszeit=50/24,INDEX(T.Pikett.Bereich,1),IF(DAY(N$10)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M34="B",INDEX(T.Pikett.Bereich,4),IF(M34="E",INDEX(T.Pikett.Bereich,1),M34)))),"")</f>
        <v>No</v>
      </c>
      <c r="O34" s="92" t="str">
        <f ca="1">IF(EB.Anwendung&lt;&gt;"",IF(EB.Wochenarbeitszeit=50/24,INDEX(T.Pikett.Bereich,1),IF(DAY(O$10)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N34="B",INDEX(T.Pikett.Bereich,4),IF(N34="E",INDEX(T.Pikett.Bereich,1),N34)))),"")</f>
        <v>No</v>
      </c>
      <c r="P34" s="92" t="str">
        <f ca="1">IF(EB.Anwendung&lt;&gt;"",IF(EB.Wochenarbeitszeit=50/24,INDEX(T.Pikett.Bereich,1),IF(DAY(P$10)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O34="B",INDEX(T.Pikett.Bereich,4),IF(O34="E",INDEX(T.Pikett.Bereich,1),O34)))),"")</f>
        <v>No</v>
      </c>
      <c r="Q34" s="92" t="str">
        <f ca="1">IF(EB.Anwendung&lt;&gt;"",IF(EB.Wochenarbeitszeit=50/24,INDEX(T.Pikett.Bereich,1),IF(DAY(Q$10)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P34="B",INDEX(T.Pikett.Bereich,4),IF(P34="E",INDEX(T.Pikett.Bereich,1),P34)))),"")</f>
        <v>No</v>
      </c>
      <c r="R34" s="92" t="str">
        <f ca="1">IF(EB.Anwendung&lt;&gt;"",IF(EB.Wochenarbeitszeit=50/24,INDEX(T.Pikett.Bereich,1),IF(DAY(R$10)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Q34="B",INDEX(T.Pikett.Bereich,4),IF(Q34="E",INDEX(T.Pikett.Bereich,1),Q34)))),"")</f>
        <v>No</v>
      </c>
      <c r="S34" s="92" t="str">
        <f ca="1">IF(EB.Anwendung&lt;&gt;"",IF(EB.Wochenarbeitszeit=50/24,INDEX(T.Pikett.Bereich,1),IF(DAY(S$10)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R34="B",INDEX(T.Pikett.Bereich,4),IF(R34="E",INDEX(T.Pikett.Bereich,1),R34)))),"")</f>
        <v>No</v>
      </c>
      <c r="T34" s="92" t="str">
        <f ca="1">IF(EB.Anwendung&lt;&gt;"",IF(EB.Wochenarbeitszeit=50/24,INDEX(T.Pikett.Bereich,1),IF(DAY(T$10)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S34="B",INDEX(T.Pikett.Bereich,4),IF(S34="E",INDEX(T.Pikett.Bereich,1),S34)))),"")</f>
        <v>No</v>
      </c>
      <c r="U34" s="92" t="str">
        <f ca="1">IF(EB.Anwendung&lt;&gt;"",IF(EB.Wochenarbeitszeit=50/24,INDEX(T.Pikett.Bereich,1),IF(DAY(U$10)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T34="B",INDEX(T.Pikett.Bereich,4),IF(T34="E",INDEX(T.Pikett.Bereich,1),T34)))),"")</f>
        <v>No</v>
      </c>
      <c r="V34" s="92" t="str">
        <f ca="1">IF(EB.Anwendung&lt;&gt;"",IF(EB.Wochenarbeitszeit=50/24,INDEX(T.Pikett.Bereich,1),IF(DAY(V$10)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U34="B",INDEX(T.Pikett.Bereich,4),IF(U34="E",INDEX(T.Pikett.Bereich,1),U34)))),"")</f>
        <v>No</v>
      </c>
      <c r="W34" s="92" t="str">
        <f ca="1">IF(EB.Anwendung&lt;&gt;"",IF(EB.Wochenarbeitszeit=50/24,INDEX(T.Pikett.Bereich,1),IF(DAY(W$10)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V34="B",INDEX(T.Pikett.Bereich,4),IF(V34="E",INDEX(T.Pikett.Bereich,1),V34)))),"")</f>
        <v>No</v>
      </c>
      <c r="X34" s="92" t="str">
        <f ca="1">IF(EB.Anwendung&lt;&gt;"",IF(EB.Wochenarbeitszeit=50/24,INDEX(T.Pikett.Bereich,1),IF(DAY(X$10)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W34="B",INDEX(T.Pikett.Bereich,4),IF(W34="E",INDEX(T.Pikett.Bereich,1),W34)))),"")</f>
        <v>No</v>
      </c>
      <c r="Y34" s="92" t="str">
        <f ca="1">IF(EB.Anwendung&lt;&gt;"",IF(EB.Wochenarbeitszeit=50/24,INDEX(T.Pikett.Bereich,1),IF(DAY(Y$10)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X34="B",INDEX(T.Pikett.Bereich,4),IF(X34="E",INDEX(T.Pikett.Bereich,1),X34)))),"")</f>
        <v>No</v>
      </c>
      <c r="Z34" s="92" t="str">
        <f ca="1">IF(EB.Anwendung&lt;&gt;"",IF(EB.Wochenarbeitszeit=50/24,INDEX(T.Pikett.Bereich,1),IF(DAY(Z$10)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Y34="B",INDEX(T.Pikett.Bereich,4),IF(Y34="E",INDEX(T.Pikett.Bereich,1),Y34)))),"")</f>
        <v>No</v>
      </c>
      <c r="AA34" s="92" t="str">
        <f ca="1">IF(EB.Anwendung&lt;&gt;"",IF(EB.Wochenarbeitszeit=50/24,INDEX(T.Pikett.Bereich,1),IF(DAY(AA$10)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Z34="B",INDEX(T.Pikett.Bereich,4),IF(Z34="E",INDEX(T.Pikett.Bereich,1),Z34)))),"")</f>
        <v>No</v>
      </c>
      <c r="AB34" s="92" t="str">
        <f ca="1">IF(EB.Anwendung&lt;&gt;"",IF(EB.Wochenarbeitszeit=50/24,INDEX(T.Pikett.Bereich,1),IF(DAY(A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A34="B",INDEX(T.Pikett.Bereich,4),IF(AA34="E",INDEX(T.Pikett.Bereich,1),AA34)))),"")</f>
        <v>No</v>
      </c>
      <c r="AC34" s="92" t="str">
        <f ca="1">IF(EB.Anwendung&lt;&gt;"",IF(EB.Wochenarbeitszeit=50/24,INDEX(T.Pikett.Bereich,1),IF(DAY(A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B34="B",INDEX(T.Pikett.Bereich,4),IF(AB34="E",INDEX(T.Pikett.Bereich,1),AB34)))),"")</f>
        <v>No</v>
      </c>
      <c r="AD34" s="92" t="str">
        <f ca="1">IF(EB.Anwendung&lt;&gt;"",IF(EB.Wochenarbeitszeit=50/24,INDEX(T.Pikett.Bereich,1),IF(DAY(A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C34="B",INDEX(T.Pikett.Bereich,4),IF(AC34="E",INDEX(T.Pikett.Bereich,1),AC34)))),"")</f>
        <v>No</v>
      </c>
      <c r="AE34" s="92" t="str">
        <f ca="1">IF(EB.Anwendung&lt;&gt;"",IF(EB.Wochenarbeitszeit=50/24,INDEX(T.Pikett.Bereich,1),IF(DAY(A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D34="B",INDEX(T.Pikett.Bereich,4),IF(AD34="E",INDEX(T.Pikett.Bereich,1),AD34)))),"")</f>
        <v>No</v>
      </c>
      <c r="AF34" s="92" t="str">
        <f ca="1">IF(EB.Anwendung&lt;&gt;"",IF(EB.Wochenarbeitszeit=50/24,INDEX(T.Pikett.Bereich,1),IF(DAY(A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E34="B",INDEX(T.Pikett.Bereich,4),IF(AE34="E",INDEX(T.Pikett.Bereich,1),AE34)))),"")</f>
        <v>No</v>
      </c>
      <c r="AG34" s="217" t="str">
        <f ca="1">IF(OFFSET(B34,0,DAY(EOMONTH(Monat.Tag1,0))-1,1,1)="B",INDEX(T.Pikett.Bereich,4),IF(OFFSET(B34,0,DAY(EOMONTH(Monat.Tag1,0))-1,1,1)="E",INDEX(T.Pikett.Bereich,1),OFFSET(B34,0,DAY(EOMONTH(Monat.Tag1,0))-1,1,1)))</f>
        <v>No</v>
      </c>
      <c r="AH34" s="228"/>
      <c r="AI34" s="224"/>
      <c r="AJ34" s="229" t="str">
        <f ca="1">IF(T.50_Vetsuisse,IFERROR(SUMPRODUCT((B34:AF34=INDEX(T.Pikett.Bereich,4))*((B49:AF49)&lt;1/24*5)),0) &amp; " / " &amp; IFERROR(SUMPRODUCT((B34:AF34=INDEX(T.Pikett.Bereich,4))*((B49:AF49)&gt;=1/24*5)),0) &amp; " / " &amp; IFERROR(SUMPRODUCT((B34:AF34=INDEX(T.Pikett.Bereich,4))*((B49:AF49)&lt;1/24*5)),0) + IFERROR(SUMPRODUCT((B34:AF34=INDEX(T.Pikett.Bereich,4))*((B49:AF49)&gt;=1/24*5)),0),
IFERROR(SUMPRODUCT((B34:AF34=INDEX(T.Pikett.Bereich,4))*(WEEKDAY(B10:AF10,2)&lt;6)*(B11:AF11&lt;&gt;0)),0) &amp; " / " &amp; IFERROR(SUMPRODUCT((B34:AF34=INDEX(T.Pikett.Bereich,4))*(WEEKDAY(B10:AF10,2)&gt;5)*(B11:AF11&lt;&gt;0))+SUMPRODUCT((B34:AF34=INDEX(T.Pikett.Bereich,4))*(B11:AF11=0)),0) &amp; " / " &amp; IFERROR(SUMPRODUCT((B34:AF34=INDEX(T.Pikett.Bereich,4))*(WEEKDAY(B10:AF10,2)&lt;6)*(B11:AF11&lt;&gt;0)),0) + IFERROR(SUMPRODUCT((B34:AF34=INDEX(T.Pikett.Bereich,4))*(WEEKDAY(B10:AF10,2)&gt;5)*(B11:AF11&lt;&gt;0))+SUMPRODUCT((B34:AF34=INDEX(T.Pikett.Bereich,4))*(B11:AF11=0)),0))</f>
        <v>0 / 0 / 0</v>
      </c>
      <c r="AK34" s="209"/>
      <c r="AL34" s="209"/>
      <c r="AM34" s="209"/>
      <c r="AN34" s="208"/>
      <c r="AO34" s="209"/>
      <c r="AP34" s="209"/>
      <c r="AQ34" s="119"/>
    </row>
    <row r="35" spans="1:43" s="38" customFormat="1" ht="15" customHeight="1" outlineLevel="1" x14ac:dyDescent="0.2">
      <c r="A35" s="212" t="s">
        <v>74</v>
      </c>
      <c r="B35" s="40"/>
      <c r="C35" s="40"/>
      <c r="D35" s="40"/>
      <c r="E35" s="27"/>
      <c r="F35" s="40"/>
      <c r="G35" s="40"/>
      <c r="H35" s="40"/>
      <c r="I35" s="40"/>
      <c r="J35" s="27"/>
      <c r="K35" s="40"/>
      <c r="L35" s="27"/>
      <c r="M35" s="40"/>
      <c r="N35" s="40"/>
      <c r="O35" s="40"/>
      <c r="P35" s="40"/>
      <c r="Q35" s="27"/>
      <c r="R35" s="40"/>
      <c r="S35" s="27"/>
      <c r="T35" s="27"/>
      <c r="U35" s="40"/>
      <c r="V35" s="40"/>
      <c r="W35" s="40"/>
      <c r="X35" s="27"/>
      <c r="Y35" s="40"/>
      <c r="Z35" s="39"/>
      <c r="AA35" s="40"/>
      <c r="AB35" s="40"/>
      <c r="AC35" s="40"/>
      <c r="AD35" s="40"/>
      <c r="AE35" s="27"/>
      <c r="AF35" s="40"/>
      <c r="AG35" s="205" t="str">
        <f t="shared" si="2"/>
        <v>in</v>
      </c>
      <c r="AH35" s="188"/>
      <c r="AI35" s="213"/>
      <c r="AJ35" s="214"/>
      <c r="AK35" s="209"/>
      <c r="AL35" s="209"/>
      <c r="AM35" s="209"/>
      <c r="AN35" s="208"/>
      <c r="AO35" s="209"/>
      <c r="AP35" s="209"/>
      <c r="AQ35" s="119"/>
    </row>
    <row r="36" spans="1:43" s="38" customFormat="1" ht="15" customHeight="1" outlineLevel="1" x14ac:dyDescent="0.2">
      <c r="A36" s="212" t="s">
        <v>75</v>
      </c>
      <c r="B36" s="40"/>
      <c r="C36" s="40"/>
      <c r="D36" s="40"/>
      <c r="E36" s="27"/>
      <c r="F36" s="40"/>
      <c r="G36" s="40"/>
      <c r="H36" s="40"/>
      <c r="I36" s="40"/>
      <c r="J36" s="27"/>
      <c r="K36" s="40"/>
      <c r="L36" s="27"/>
      <c r="M36" s="40"/>
      <c r="N36" s="40"/>
      <c r="O36" s="40"/>
      <c r="P36" s="40"/>
      <c r="Q36" s="27"/>
      <c r="R36" s="40"/>
      <c r="S36" s="27"/>
      <c r="T36" s="27"/>
      <c r="U36" s="40"/>
      <c r="V36" s="40"/>
      <c r="W36" s="40"/>
      <c r="X36" s="27"/>
      <c r="Y36" s="40"/>
      <c r="Z36" s="39"/>
      <c r="AA36" s="40"/>
      <c r="AB36" s="40"/>
      <c r="AC36" s="40"/>
      <c r="AD36" s="40"/>
      <c r="AE36" s="27"/>
      <c r="AF36" s="40"/>
      <c r="AG36" s="205" t="str">
        <f t="shared" si="2"/>
        <v>out</v>
      </c>
      <c r="AH36" s="188"/>
      <c r="AI36" s="213"/>
      <c r="AJ36" s="214"/>
      <c r="AK36" s="209"/>
      <c r="AL36" s="209"/>
      <c r="AM36" s="209"/>
      <c r="AN36" s="208"/>
      <c r="AO36" s="209"/>
      <c r="AP36" s="209"/>
      <c r="AQ36" s="119"/>
    </row>
    <row r="37" spans="1:43" s="38" customFormat="1" ht="15" customHeight="1" outlineLevel="1" x14ac:dyDescent="0.2">
      <c r="A37" s="212" t="s">
        <v>74</v>
      </c>
      <c r="B37" s="40"/>
      <c r="C37" s="40"/>
      <c r="D37" s="40"/>
      <c r="E37" s="27"/>
      <c r="F37" s="40"/>
      <c r="G37" s="40"/>
      <c r="H37" s="40"/>
      <c r="I37" s="40"/>
      <c r="J37" s="27"/>
      <c r="K37" s="40"/>
      <c r="L37" s="27"/>
      <c r="M37" s="40"/>
      <c r="N37" s="40"/>
      <c r="O37" s="40"/>
      <c r="P37" s="40"/>
      <c r="Q37" s="27"/>
      <c r="R37" s="40"/>
      <c r="S37" s="27"/>
      <c r="T37" s="27"/>
      <c r="U37" s="40"/>
      <c r="V37" s="40"/>
      <c r="W37" s="40"/>
      <c r="X37" s="27"/>
      <c r="Y37" s="40"/>
      <c r="Z37" s="39"/>
      <c r="AA37" s="40"/>
      <c r="AB37" s="40"/>
      <c r="AC37" s="40"/>
      <c r="AD37" s="40"/>
      <c r="AE37" s="27"/>
      <c r="AF37" s="40"/>
      <c r="AG37" s="205" t="str">
        <f t="shared" si="2"/>
        <v>in</v>
      </c>
      <c r="AH37" s="188"/>
      <c r="AI37" s="213"/>
      <c r="AJ37" s="214"/>
      <c r="AK37" s="209"/>
      <c r="AL37" s="209"/>
      <c r="AM37" s="209"/>
      <c r="AN37" s="208"/>
      <c r="AO37" s="209"/>
      <c r="AP37" s="209"/>
      <c r="AQ37" s="119"/>
    </row>
    <row r="38" spans="1:43" s="38" customFormat="1" ht="15" customHeight="1" outlineLevel="1" x14ac:dyDescent="0.2">
      <c r="A38" s="212" t="s">
        <v>75</v>
      </c>
      <c r="B38" s="40"/>
      <c r="C38" s="40"/>
      <c r="D38" s="40"/>
      <c r="E38" s="27"/>
      <c r="F38" s="40"/>
      <c r="G38" s="40"/>
      <c r="H38" s="40"/>
      <c r="I38" s="40"/>
      <c r="J38" s="27"/>
      <c r="K38" s="40"/>
      <c r="L38" s="27"/>
      <c r="M38" s="40"/>
      <c r="N38" s="40"/>
      <c r="O38" s="40"/>
      <c r="P38" s="40"/>
      <c r="Q38" s="27"/>
      <c r="R38" s="40"/>
      <c r="S38" s="27"/>
      <c r="T38" s="27"/>
      <c r="U38" s="40"/>
      <c r="V38" s="40"/>
      <c r="W38" s="40"/>
      <c r="X38" s="27"/>
      <c r="Y38" s="40"/>
      <c r="Z38" s="39"/>
      <c r="AA38" s="40"/>
      <c r="AB38" s="40"/>
      <c r="AC38" s="40"/>
      <c r="AD38" s="40"/>
      <c r="AE38" s="27"/>
      <c r="AF38" s="40"/>
      <c r="AG38" s="205" t="str">
        <f t="shared" si="2"/>
        <v>out</v>
      </c>
      <c r="AH38" s="188"/>
      <c r="AI38" s="213"/>
      <c r="AJ38" s="214"/>
      <c r="AK38" s="209"/>
      <c r="AL38" s="209"/>
      <c r="AM38" s="209"/>
      <c r="AN38" s="208"/>
      <c r="AO38" s="209"/>
      <c r="AP38" s="209"/>
      <c r="AQ38" s="119"/>
    </row>
    <row r="39" spans="1:43" s="38" customFormat="1" ht="15" customHeight="1" outlineLevel="1" x14ac:dyDescent="0.2">
      <c r="A39" s="212" t="s">
        <v>74</v>
      </c>
      <c r="B39" s="40"/>
      <c r="C39" s="40"/>
      <c r="D39" s="40"/>
      <c r="E39" s="27"/>
      <c r="F39" s="40"/>
      <c r="G39" s="40"/>
      <c r="H39" s="40"/>
      <c r="I39" s="40"/>
      <c r="J39" s="27"/>
      <c r="K39" s="40"/>
      <c r="L39" s="27"/>
      <c r="M39" s="40"/>
      <c r="N39" s="40"/>
      <c r="O39" s="40"/>
      <c r="P39" s="40"/>
      <c r="Q39" s="27"/>
      <c r="R39" s="40"/>
      <c r="S39" s="27"/>
      <c r="T39" s="27"/>
      <c r="U39" s="40"/>
      <c r="V39" s="40"/>
      <c r="W39" s="40"/>
      <c r="X39" s="27"/>
      <c r="Y39" s="40"/>
      <c r="Z39" s="39"/>
      <c r="AA39" s="40"/>
      <c r="AB39" s="40"/>
      <c r="AC39" s="40"/>
      <c r="AD39" s="40"/>
      <c r="AE39" s="27"/>
      <c r="AF39" s="40"/>
      <c r="AG39" s="205" t="str">
        <f t="shared" si="2"/>
        <v>in</v>
      </c>
      <c r="AH39" s="188"/>
      <c r="AI39" s="213"/>
      <c r="AJ39" s="214"/>
      <c r="AK39" s="209"/>
      <c r="AL39" s="209"/>
      <c r="AM39" s="209"/>
      <c r="AN39" s="208"/>
      <c r="AO39" s="209"/>
      <c r="AP39" s="209"/>
      <c r="AQ39" s="119"/>
    </row>
    <row r="40" spans="1:43" s="38" customFormat="1" ht="15" customHeight="1" outlineLevel="1" x14ac:dyDescent="0.2">
      <c r="A40" s="212" t="s">
        <v>75</v>
      </c>
      <c r="B40" s="40"/>
      <c r="C40" s="40"/>
      <c r="D40" s="40"/>
      <c r="E40" s="27"/>
      <c r="F40" s="40"/>
      <c r="G40" s="40"/>
      <c r="H40" s="40"/>
      <c r="I40" s="40"/>
      <c r="J40" s="27"/>
      <c r="K40" s="40"/>
      <c r="L40" s="27"/>
      <c r="M40" s="40"/>
      <c r="N40" s="40"/>
      <c r="O40" s="40"/>
      <c r="P40" s="40"/>
      <c r="Q40" s="27"/>
      <c r="R40" s="40"/>
      <c r="S40" s="27"/>
      <c r="T40" s="27"/>
      <c r="U40" s="40"/>
      <c r="V40" s="40"/>
      <c r="W40" s="40"/>
      <c r="X40" s="27"/>
      <c r="Y40" s="40"/>
      <c r="Z40" s="39"/>
      <c r="AA40" s="40"/>
      <c r="AB40" s="40"/>
      <c r="AC40" s="40"/>
      <c r="AD40" s="40"/>
      <c r="AE40" s="27"/>
      <c r="AF40" s="40"/>
      <c r="AG40" s="205" t="str">
        <f t="shared" si="2"/>
        <v>out</v>
      </c>
      <c r="AH40" s="188"/>
      <c r="AI40" s="213"/>
      <c r="AJ40" s="214"/>
      <c r="AK40" s="209"/>
      <c r="AL40" s="209"/>
      <c r="AM40" s="209"/>
      <c r="AN40" s="208"/>
      <c r="AO40" s="209"/>
      <c r="AP40" s="209"/>
      <c r="AQ40" s="119"/>
    </row>
    <row r="41" spans="1:43" s="38" customFormat="1" ht="15" hidden="1" customHeight="1" outlineLevel="1" x14ac:dyDescent="0.2">
      <c r="A41" s="212" t="s">
        <v>74</v>
      </c>
      <c r="B41" s="40"/>
      <c r="C41" s="40"/>
      <c r="D41" s="40"/>
      <c r="E41" s="27"/>
      <c r="F41" s="40"/>
      <c r="G41" s="40"/>
      <c r="H41" s="40"/>
      <c r="I41" s="40"/>
      <c r="J41" s="27"/>
      <c r="K41" s="40"/>
      <c r="L41" s="27"/>
      <c r="M41" s="40"/>
      <c r="N41" s="40"/>
      <c r="O41" s="40"/>
      <c r="P41" s="40"/>
      <c r="Q41" s="27"/>
      <c r="R41" s="40"/>
      <c r="S41" s="27"/>
      <c r="T41" s="27"/>
      <c r="U41" s="40"/>
      <c r="V41" s="40"/>
      <c r="W41" s="40"/>
      <c r="X41" s="27"/>
      <c r="Y41" s="40"/>
      <c r="Z41" s="39"/>
      <c r="AA41" s="40"/>
      <c r="AB41" s="40"/>
      <c r="AC41" s="40"/>
      <c r="AD41" s="40"/>
      <c r="AE41" s="27"/>
      <c r="AF41" s="40"/>
      <c r="AG41" s="205" t="str">
        <f t="shared" si="2"/>
        <v>in</v>
      </c>
      <c r="AH41" s="188"/>
      <c r="AI41" s="213"/>
      <c r="AJ41" s="214"/>
      <c r="AK41" s="209"/>
      <c r="AL41" s="209"/>
      <c r="AM41" s="209"/>
      <c r="AN41" s="208"/>
      <c r="AO41" s="209"/>
      <c r="AP41" s="209"/>
      <c r="AQ41" s="119"/>
    </row>
    <row r="42" spans="1:43" s="38" customFormat="1" ht="15" hidden="1" customHeight="1" outlineLevel="1" x14ac:dyDescent="0.2">
      <c r="A42" s="212" t="s">
        <v>75</v>
      </c>
      <c r="B42" s="40"/>
      <c r="C42" s="40"/>
      <c r="D42" s="40"/>
      <c r="E42" s="27"/>
      <c r="F42" s="40"/>
      <c r="G42" s="40"/>
      <c r="H42" s="40"/>
      <c r="I42" s="40"/>
      <c r="J42" s="27"/>
      <c r="K42" s="40"/>
      <c r="L42" s="27"/>
      <c r="M42" s="40"/>
      <c r="N42" s="40"/>
      <c r="O42" s="40"/>
      <c r="P42" s="40"/>
      <c r="Q42" s="27"/>
      <c r="R42" s="40"/>
      <c r="S42" s="27"/>
      <c r="T42" s="27"/>
      <c r="U42" s="40"/>
      <c r="V42" s="40"/>
      <c r="W42" s="40"/>
      <c r="X42" s="27"/>
      <c r="Y42" s="40"/>
      <c r="Z42" s="39"/>
      <c r="AA42" s="40"/>
      <c r="AB42" s="40"/>
      <c r="AC42" s="40"/>
      <c r="AD42" s="40"/>
      <c r="AE42" s="27"/>
      <c r="AF42" s="40"/>
      <c r="AG42" s="205" t="str">
        <f t="shared" si="2"/>
        <v>out</v>
      </c>
      <c r="AH42" s="188"/>
      <c r="AI42" s="213"/>
      <c r="AJ42" s="214"/>
      <c r="AK42" s="209"/>
      <c r="AL42" s="209"/>
      <c r="AM42" s="209"/>
      <c r="AN42" s="208"/>
      <c r="AO42" s="209"/>
      <c r="AP42" s="209"/>
      <c r="AQ42" s="119"/>
    </row>
    <row r="43" spans="1:43" s="38" customFormat="1" ht="15" hidden="1" customHeight="1" outlineLevel="1" x14ac:dyDescent="0.2">
      <c r="A43" s="212" t="s">
        <v>74</v>
      </c>
      <c r="B43" s="40"/>
      <c r="C43" s="40"/>
      <c r="D43" s="40"/>
      <c r="E43" s="27"/>
      <c r="F43" s="40"/>
      <c r="G43" s="40"/>
      <c r="H43" s="40"/>
      <c r="I43" s="40"/>
      <c r="J43" s="27"/>
      <c r="K43" s="40"/>
      <c r="L43" s="27"/>
      <c r="M43" s="40"/>
      <c r="N43" s="40"/>
      <c r="O43" s="40"/>
      <c r="P43" s="40"/>
      <c r="Q43" s="27"/>
      <c r="R43" s="40"/>
      <c r="S43" s="27"/>
      <c r="T43" s="27"/>
      <c r="U43" s="40"/>
      <c r="V43" s="40"/>
      <c r="W43" s="40"/>
      <c r="X43" s="27"/>
      <c r="Y43" s="40"/>
      <c r="Z43" s="39"/>
      <c r="AA43" s="40"/>
      <c r="AB43" s="40"/>
      <c r="AC43" s="40"/>
      <c r="AD43" s="40"/>
      <c r="AE43" s="27"/>
      <c r="AF43" s="40"/>
      <c r="AG43" s="205" t="str">
        <f t="shared" si="2"/>
        <v>in</v>
      </c>
      <c r="AH43" s="188"/>
      <c r="AI43" s="213"/>
      <c r="AJ43" s="214"/>
      <c r="AK43" s="209"/>
      <c r="AL43" s="209"/>
      <c r="AM43" s="209"/>
      <c r="AN43" s="208"/>
      <c r="AO43" s="209"/>
      <c r="AP43" s="209"/>
      <c r="AQ43" s="119"/>
    </row>
    <row r="44" spans="1:43" s="38" customFormat="1" ht="15" hidden="1" customHeight="1" outlineLevel="1" x14ac:dyDescent="0.2">
      <c r="A44" s="212" t="s">
        <v>75</v>
      </c>
      <c r="B44" s="40"/>
      <c r="C44" s="40"/>
      <c r="D44" s="40"/>
      <c r="E44" s="27"/>
      <c r="F44" s="40"/>
      <c r="G44" s="40"/>
      <c r="H44" s="40"/>
      <c r="I44" s="40"/>
      <c r="J44" s="27"/>
      <c r="K44" s="40"/>
      <c r="L44" s="27"/>
      <c r="M44" s="40"/>
      <c r="N44" s="40"/>
      <c r="O44" s="40"/>
      <c r="P44" s="40"/>
      <c r="Q44" s="27"/>
      <c r="R44" s="40"/>
      <c r="S44" s="27"/>
      <c r="T44" s="27"/>
      <c r="U44" s="40"/>
      <c r="V44" s="40"/>
      <c r="W44" s="40"/>
      <c r="X44" s="27"/>
      <c r="Y44" s="40"/>
      <c r="Z44" s="39"/>
      <c r="AA44" s="40"/>
      <c r="AB44" s="40"/>
      <c r="AC44" s="40"/>
      <c r="AD44" s="40"/>
      <c r="AE44" s="27"/>
      <c r="AF44" s="40"/>
      <c r="AG44" s="205" t="str">
        <f t="shared" si="2"/>
        <v>out</v>
      </c>
      <c r="AH44" s="188"/>
      <c r="AI44" s="213"/>
      <c r="AJ44" s="214"/>
      <c r="AK44" s="209"/>
      <c r="AL44" s="209"/>
      <c r="AM44" s="209"/>
      <c r="AN44" s="208"/>
      <c r="AO44" s="209"/>
      <c r="AP44" s="209"/>
      <c r="AQ44" s="119"/>
    </row>
    <row r="45" spans="1:43" s="38" customFormat="1" ht="15" customHeight="1" outlineLevel="1" x14ac:dyDescent="0.2">
      <c r="A45" s="215" t="s">
        <v>207</v>
      </c>
      <c r="B45" s="216">
        <f>ROUND(((B36-B35)+(B38-B37)+(B40-B39)+(B42-B41)+(B44-B43))*1440,0)/1440</f>
        <v>0</v>
      </c>
      <c r="C45" s="216">
        <f t="shared" ref="C45:AF45" si="9">ROUND(((C36-C35)+(C38-C37)+(C40-C39)+(C42-C41)+(C44-C43))*1440,0)/1440</f>
        <v>0</v>
      </c>
      <c r="D45" s="216">
        <f t="shared" si="9"/>
        <v>0</v>
      </c>
      <c r="E45" s="216">
        <f t="shared" si="9"/>
        <v>0</v>
      </c>
      <c r="F45" s="216">
        <f t="shared" si="9"/>
        <v>0</v>
      </c>
      <c r="G45" s="216">
        <f t="shared" si="9"/>
        <v>0</v>
      </c>
      <c r="H45" s="216">
        <f t="shared" si="9"/>
        <v>0</v>
      </c>
      <c r="I45" s="216">
        <f t="shared" si="9"/>
        <v>0</v>
      </c>
      <c r="J45" s="216">
        <f t="shared" si="9"/>
        <v>0</v>
      </c>
      <c r="K45" s="216">
        <f t="shared" si="9"/>
        <v>0</v>
      </c>
      <c r="L45" s="216">
        <f t="shared" si="9"/>
        <v>0</v>
      </c>
      <c r="M45" s="216">
        <f t="shared" si="9"/>
        <v>0</v>
      </c>
      <c r="N45" s="216">
        <f t="shared" si="9"/>
        <v>0</v>
      </c>
      <c r="O45" s="216">
        <f t="shared" si="9"/>
        <v>0</v>
      </c>
      <c r="P45" s="216">
        <f t="shared" si="9"/>
        <v>0</v>
      </c>
      <c r="Q45" s="216">
        <f t="shared" si="9"/>
        <v>0</v>
      </c>
      <c r="R45" s="216">
        <f t="shared" si="9"/>
        <v>0</v>
      </c>
      <c r="S45" s="216">
        <f t="shared" si="9"/>
        <v>0</v>
      </c>
      <c r="T45" s="216">
        <f t="shared" si="9"/>
        <v>0</v>
      </c>
      <c r="U45" s="216">
        <f t="shared" si="9"/>
        <v>0</v>
      </c>
      <c r="V45" s="216">
        <f t="shared" si="9"/>
        <v>0</v>
      </c>
      <c r="W45" s="216">
        <f t="shared" si="9"/>
        <v>0</v>
      </c>
      <c r="X45" s="216">
        <f t="shared" si="9"/>
        <v>0</v>
      </c>
      <c r="Y45" s="216">
        <f t="shared" si="9"/>
        <v>0</v>
      </c>
      <c r="Z45" s="216">
        <f t="shared" si="9"/>
        <v>0</v>
      </c>
      <c r="AA45" s="216">
        <f t="shared" si="9"/>
        <v>0</v>
      </c>
      <c r="AB45" s="216">
        <f t="shared" si="9"/>
        <v>0</v>
      </c>
      <c r="AC45" s="216">
        <f t="shared" si="9"/>
        <v>0</v>
      </c>
      <c r="AD45" s="216">
        <f t="shared" si="9"/>
        <v>0</v>
      </c>
      <c r="AE45" s="216">
        <f t="shared" si="9"/>
        <v>0</v>
      </c>
      <c r="AF45" s="216">
        <f t="shared" si="9"/>
        <v>0</v>
      </c>
      <c r="AG45" s="217" t="str">
        <f t="shared" si="2"/>
        <v>Total on call standby in/out</v>
      </c>
      <c r="AH45" s="218"/>
      <c r="AI45" s="219">
        <f>SUM(B45:AF45)</f>
        <v>0</v>
      </c>
      <c r="AJ45" s="214"/>
      <c r="AK45" s="209"/>
      <c r="AL45" s="209"/>
      <c r="AM45" s="209"/>
      <c r="AN45" s="208"/>
      <c r="AO45" s="209"/>
      <c r="AP45" s="209"/>
      <c r="AQ45" s="119"/>
    </row>
    <row r="46" spans="1:43" s="38" customFormat="1" ht="3.75" customHeight="1" x14ac:dyDescent="0.2">
      <c r="A46" s="220"/>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213"/>
      <c r="AG46" s="205"/>
      <c r="AH46" s="188"/>
      <c r="AI46" s="213"/>
      <c r="AJ46" s="214"/>
      <c r="AK46" s="209"/>
      <c r="AL46" s="209"/>
      <c r="AM46" s="209"/>
      <c r="AN46" s="208"/>
      <c r="AO46" s="209"/>
      <c r="AP46" s="209"/>
      <c r="AQ46" s="119"/>
    </row>
    <row r="47" spans="1:43" s="38" customFormat="1" ht="16.5" hidden="1" customHeight="1" outlineLevel="1" x14ac:dyDescent="0.2">
      <c r="A47" s="215" t="s">
        <v>209</v>
      </c>
      <c r="B47" s="216">
        <f t="shared" ref="B47:AF47" si="10">IF(B45&gt;0,ROUND((B45-
IF(B35&lt;T.PikettVetsuissebis,MIN(T.PikettVetsuissebis-B35,B36-B35)+IF(B37&lt;T.PikettVetsuissebis,MIN(T.PikettVetsuissebis-B37,B38-B37)+IF(B39&lt;T.PikettVetsuissebis,MIN(T.PikettVetsuissebis-B39,B40-B39)+IF(B41&lt;T.PikettVetsuissebis,MIN(T.PikettVetsuissebis-B41,B42-B41)+IF(B43&lt;T.PikettVetsuissebis,MIN(T.PikettVetsuissebis-B43,B44-B43),0),0),0),0),0))*1440,0)/1440,0)</f>
        <v>0</v>
      </c>
      <c r="C47" s="216">
        <f t="shared" si="10"/>
        <v>0</v>
      </c>
      <c r="D47" s="216">
        <f t="shared" si="10"/>
        <v>0</v>
      </c>
      <c r="E47" s="216">
        <f t="shared" si="10"/>
        <v>0</v>
      </c>
      <c r="F47" s="216">
        <f t="shared" si="10"/>
        <v>0</v>
      </c>
      <c r="G47" s="216">
        <f t="shared" si="10"/>
        <v>0</v>
      </c>
      <c r="H47" s="216">
        <f t="shared" si="10"/>
        <v>0</v>
      </c>
      <c r="I47" s="216">
        <f t="shared" si="10"/>
        <v>0</v>
      </c>
      <c r="J47" s="216">
        <f t="shared" si="10"/>
        <v>0</v>
      </c>
      <c r="K47" s="216">
        <f t="shared" si="10"/>
        <v>0</v>
      </c>
      <c r="L47" s="216">
        <f t="shared" si="10"/>
        <v>0</v>
      </c>
      <c r="M47" s="216">
        <f t="shared" si="10"/>
        <v>0</v>
      </c>
      <c r="N47" s="216">
        <f t="shared" si="10"/>
        <v>0</v>
      </c>
      <c r="O47" s="216">
        <f t="shared" si="10"/>
        <v>0</v>
      </c>
      <c r="P47" s="216">
        <f t="shared" si="10"/>
        <v>0</v>
      </c>
      <c r="Q47" s="216">
        <f t="shared" si="10"/>
        <v>0</v>
      </c>
      <c r="R47" s="216">
        <f t="shared" si="10"/>
        <v>0</v>
      </c>
      <c r="S47" s="216">
        <f t="shared" si="10"/>
        <v>0</v>
      </c>
      <c r="T47" s="216">
        <f t="shared" si="10"/>
        <v>0</v>
      </c>
      <c r="U47" s="216">
        <f t="shared" si="10"/>
        <v>0</v>
      </c>
      <c r="V47" s="216">
        <f t="shared" si="10"/>
        <v>0</v>
      </c>
      <c r="W47" s="216">
        <f t="shared" si="10"/>
        <v>0</v>
      </c>
      <c r="X47" s="216">
        <f t="shared" si="10"/>
        <v>0</v>
      </c>
      <c r="Y47" s="216">
        <f t="shared" si="10"/>
        <v>0</v>
      </c>
      <c r="Z47" s="216">
        <f t="shared" si="10"/>
        <v>0</v>
      </c>
      <c r="AA47" s="216">
        <f t="shared" si="10"/>
        <v>0</v>
      </c>
      <c r="AB47" s="216">
        <f t="shared" si="10"/>
        <v>0</v>
      </c>
      <c r="AC47" s="216">
        <f t="shared" si="10"/>
        <v>0</v>
      </c>
      <c r="AD47" s="216">
        <f t="shared" si="10"/>
        <v>0</v>
      </c>
      <c r="AE47" s="216">
        <f t="shared" si="10"/>
        <v>0</v>
      </c>
      <c r="AF47" s="216">
        <f t="shared" si="10"/>
        <v>0</v>
      </c>
      <c r="AG47" s="217" t="str">
        <f t="shared" si="2"/>
        <v>Total on call hours today</v>
      </c>
      <c r="AH47" s="188"/>
      <c r="AI47" s="213"/>
      <c r="AJ47" s="214"/>
      <c r="AK47" s="209"/>
      <c r="AL47" s="209"/>
      <c r="AM47" s="209"/>
      <c r="AN47" s="208"/>
      <c r="AO47" s="209"/>
      <c r="AP47" s="209"/>
      <c r="AQ47" s="119"/>
    </row>
    <row r="48" spans="1:43" s="38" customFormat="1" ht="16.5" hidden="1" customHeight="1" outlineLevel="1" x14ac:dyDescent="0.2">
      <c r="A48" s="215" t="s">
        <v>208</v>
      </c>
      <c r="B48" s="225">
        <f t="shared" ref="B48:AF48" si="11">B45-B47</f>
        <v>0</v>
      </c>
      <c r="C48" s="225">
        <f t="shared" si="11"/>
        <v>0</v>
      </c>
      <c r="D48" s="225">
        <f t="shared" si="11"/>
        <v>0</v>
      </c>
      <c r="E48" s="225">
        <f t="shared" si="11"/>
        <v>0</v>
      </c>
      <c r="F48" s="225">
        <f t="shared" si="11"/>
        <v>0</v>
      </c>
      <c r="G48" s="225">
        <f t="shared" si="11"/>
        <v>0</v>
      </c>
      <c r="H48" s="225">
        <f t="shared" si="11"/>
        <v>0</v>
      </c>
      <c r="I48" s="225">
        <f t="shared" si="11"/>
        <v>0</v>
      </c>
      <c r="J48" s="225">
        <f t="shared" si="11"/>
        <v>0</v>
      </c>
      <c r="K48" s="225">
        <f t="shared" si="11"/>
        <v>0</v>
      </c>
      <c r="L48" s="225">
        <f t="shared" si="11"/>
        <v>0</v>
      </c>
      <c r="M48" s="225">
        <f t="shared" si="11"/>
        <v>0</v>
      </c>
      <c r="N48" s="225">
        <f t="shared" si="11"/>
        <v>0</v>
      </c>
      <c r="O48" s="225">
        <f t="shared" si="11"/>
        <v>0</v>
      </c>
      <c r="P48" s="225">
        <f t="shared" si="11"/>
        <v>0</v>
      </c>
      <c r="Q48" s="225">
        <f t="shared" si="11"/>
        <v>0</v>
      </c>
      <c r="R48" s="225">
        <f t="shared" si="11"/>
        <v>0</v>
      </c>
      <c r="S48" s="225">
        <f t="shared" si="11"/>
        <v>0</v>
      </c>
      <c r="T48" s="225">
        <f t="shared" si="11"/>
        <v>0</v>
      </c>
      <c r="U48" s="225">
        <f t="shared" si="11"/>
        <v>0</v>
      </c>
      <c r="V48" s="225">
        <f t="shared" si="11"/>
        <v>0</v>
      </c>
      <c r="W48" s="225">
        <f t="shared" si="11"/>
        <v>0</v>
      </c>
      <c r="X48" s="225">
        <f t="shared" si="11"/>
        <v>0</v>
      </c>
      <c r="Y48" s="225">
        <f t="shared" si="11"/>
        <v>0</v>
      </c>
      <c r="Z48" s="225">
        <f t="shared" si="11"/>
        <v>0</v>
      </c>
      <c r="AA48" s="225">
        <f t="shared" si="11"/>
        <v>0</v>
      </c>
      <c r="AB48" s="225">
        <f t="shared" si="11"/>
        <v>0</v>
      </c>
      <c r="AC48" s="225">
        <f t="shared" si="11"/>
        <v>0</v>
      </c>
      <c r="AD48" s="225">
        <f t="shared" si="11"/>
        <v>0</v>
      </c>
      <c r="AE48" s="225">
        <f t="shared" si="11"/>
        <v>0</v>
      </c>
      <c r="AF48" s="225">
        <f t="shared" si="11"/>
        <v>0</v>
      </c>
      <c r="AG48" s="217" t="str">
        <f t="shared" si="2"/>
        <v>Total on call hours yesterday</v>
      </c>
      <c r="AH48" s="188"/>
      <c r="AI48" s="213"/>
      <c r="AJ48" s="214"/>
      <c r="AK48" s="209"/>
      <c r="AL48" s="209"/>
      <c r="AM48" s="230">
        <f ca="1">IF(EB.Anwendung&lt;&gt;"",IF(MONTH(Monat.Tag1)=12,0,IF(MONTH(Monat.Tag1)=1,February!Monat.PikettgesternTag1,IF(MONTH(Monat.Tag1)=2,March!Monat.PikettgesternTag1,IF(MONTH(Monat.Tag1)=3,April!Monat.PikettgesternTag1,IF(MONTH(Monat.Tag1)=4,May!Monat.PikettgesternTag1,IF(MONTH(Monat.Tag1)=5,June!Monat.PikettgesternTag1,IF(MONTH(Monat.Tag1)=6,July!Monat.PikettgesternTag1,IF(MONTH(Monat.Tag1)=7,August!Monat.PikettgesternTag1,IF(MONTH(Monat.Tag1)=8,September!Monat.PikettgesternTag1,IF(MONTH(Monat.Tag1)=9,October!Monat.PikettgesternTag1,IF(MONTH(Monat.Tag1)=10,November!Monat.PikettgesternTag1,IF(MONTH(Monat.Tag1)=11,December!Monat.PikettgesternTag1,"")))))))))))),"")</f>
        <v>0</v>
      </c>
      <c r="AN48" s="208"/>
      <c r="AO48" s="209"/>
      <c r="AP48" s="209"/>
      <c r="AQ48" s="119"/>
    </row>
    <row r="49" spans="1:43" s="38" customFormat="1" ht="16.5" hidden="1" customHeight="1" outlineLevel="1" x14ac:dyDescent="0.2">
      <c r="A49" s="215" t="s">
        <v>210</v>
      </c>
      <c r="B49" s="216">
        <f t="shared" ref="B49:AF49" si="12">B47+IF(B$10=EOMONTH(B$10,0),$AM48,C48)</f>
        <v>0</v>
      </c>
      <c r="C49" s="216">
        <f t="shared" si="12"/>
        <v>0</v>
      </c>
      <c r="D49" s="216">
        <f t="shared" si="12"/>
        <v>0</v>
      </c>
      <c r="E49" s="216">
        <f t="shared" si="12"/>
        <v>0</v>
      </c>
      <c r="F49" s="216">
        <f t="shared" si="12"/>
        <v>0</v>
      </c>
      <c r="G49" s="216">
        <f t="shared" si="12"/>
        <v>0</v>
      </c>
      <c r="H49" s="216">
        <f t="shared" si="12"/>
        <v>0</v>
      </c>
      <c r="I49" s="216">
        <f t="shared" si="12"/>
        <v>0</v>
      </c>
      <c r="J49" s="216">
        <f t="shared" si="12"/>
        <v>0</v>
      </c>
      <c r="K49" s="216">
        <f t="shared" si="12"/>
        <v>0</v>
      </c>
      <c r="L49" s="216">
        <f t="shared" si="12"/>
        <v>0</v>
      </c>
      <c r="M49" s="216">
        <f t="shared" si="12"/>
        <v>0</v>
      </c>
      <c r="N49" s="216">
        <f t="shared" si="12"/>
        <v>0</v>
      </c>
      <c r="O49" s="216">
        <f t="shared" si="12"/>
        <v>0</v>
      </c>
      <c r="P49" s="216">
        <f t="shared" si="12"/>
        <v>0</v>
      </c>
      <c r="Q49" s="216">
        <f t="shared" si="12"/>
        <v>0</v>
      </c>
      <c r="R49" s="216">
        <f t="shared" si="12"/>
        <v>0</v>
      </c>
      <c r="S49" s="216">
        <f t="shared" si="12"/>
        <v>0</v>
      </c>
      <c r="T49" s="216">
        <f t="shared" si="12"/>
        <v>0</v>
      </c>
      <c r="U49" s="216">
        <f t="shared" si="12"/>
        <v>0</v>
      </c>
      <c r="V49" s="216">
        <f t="shared" si="12"/>
        <v>0</v>
      </c>
      <c r="W49" s="216">
        <f t="shared" si="12"/>
        <v>0</v>
      </c>
      <c r="X49" s="216">
        <f t="shared" si="12"/>
        <v>0</v>
      </c>
      <c r="Y49" s="216">
        <f t="shared" si="12"/>
        <v>0</v>
      </c>
      <c r="Z49" s="216">
        <f t="shared" si="12"/>
        <v>0</v>
      </c>
      <c r="AA49" s="216">
        <f t="shared" si="12"/>
        <v>0</v>
      </c>
      <c r="AB49" s="216">
        <f t="shared" si="12"/>
        <v>0</v>
      </c>
      <c r="AC49" s="216">
        <f t="shared" si="12"/>
        <v>0</v>
      </c>
      <c r="AD49" s="216">
        <f t="shared" si="12"/>
        <v>0</v>
      </c>
      <c r="AE49" s="216">
        <f t="shared" si="12"/>
        <v>0</v>
      </c>
      <c r="AF49" s="216">
        <f t="shared" ca="1" si="12"/>
        <v>0</v>
      </c>
      <c r="AG49" s="217" t="str">
        <f t="shared" si="2"/>
        <v>Total on call standby hours</v>
      </c>
      <c r="AH49" s="218"/>
      <c r="AI49" s="219">
        <f ca="1">SUM(B49:AF49)</f>
        <v>0</v>
      </c>
      <c r="AJ49" s="214"/>
      <c r="AK49" s="209"/>
      <c r="AL49" s="209"/>
      <c r="AM49" s="209"/>
      <c r="AN49" s="208"/>
      <c r="AO49" s="209"/>
      <c r="AP49" s="209"/>
      <c r="AQ49" s="119"/>
    </row>
    <row r="50" spans="1:43" s="38" customFormat="1" ht="3.75" customHeight="1" collapsed="1" x14ac:dyDescent="0.2">
      <c r="A50" s="231"/>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2"/>
      <c r="AG50" s="232"/>
      <c r="AH50" s="233"/>
      <c r="AI50" s="222"/>
      <c r="AJ50" s="214"/>
      <c r="AK50" s="209"/>
      <c r="AL50" s="209"/>
      <c r="AM50" s="209"/>
      <c r="AN50" s="208"/>
      <c r="AO50" s="209"/>
      <c r="AP50" s="209"/>
      <c r="AQ50" s="119"/>
    </row>
    <row r="51" spans="1:43" s="38" customFormat="1" ht="15" customHeight="1" x14ac:dyDescent="0.2">
      <c r="A51" s="215" t="s">
        <v>76</v>
      </c>
      <c r="B51" s="234">
        <f>ROUND((B23+B45+B84+SUM(B86:B95)+IF(OR(T.50_Vetsuisse,T.ServiceCenterIrchel),B71,0))*1440,0)/1440</f>
        <v>0</v>
      </c>
      <c r="C51" s="234">
        <f t="shared" ref="C51:AF51" si="13">ROUND((C23+C45+C84+SUM(C86:C95)+IF(OR(T.50_Vetsuisse,T.ServiceCenterIrchel),C71,0))*1440,0)/1440</f>
        <v>0</v>
      </c>
      <c r="D51" s="234">
        <f t="shared" si="13"/>
        <v>0</v>
      </c>
      <c r="E51" s="235">
        <f t="shared" si="13"/>
        <v>0</v>
      </c>
      <c r="F51" s="234">
        <f t="shared" si="13"/>
        <v>0</v>
      </c>
      <c r="G51" s="234">
        <f t="shared" si="13"/>
        <v>0</v>
      </c>
      <c r="H51" s="234">
        <f t="shared" si="13"/>
        <v>0</v>
      </c>
      <c r="I51" s="234">
        <f t="shared" si="13"/>
        <v>0</v>
      </c>
      <c r="J51" s="236">
        <f t="shared" si="13"/>
        <v>0</v>
      </c>
      <c r="K51" s="234">
        <f t="shared" si="13"/>
        <v>0</v>
      </c>
      <c r="L51" s="236">
        <f t="shared" si="13"/>
        <v>0</v>
      </c>
      <c r="M51" s="234">
        <f t="shared" si="13"/>
        <v>0</v>
      </c>
      <c r="N51" s="234">
        <f t="shared" si="13"/>
        <v>0</v>
      </c>
      <c r="O51" s="234">
        <f t="shared" si="13"/>
        <v>0</v>
      </c>
      <c r="P51" s="234">
        <f t="shared" si="13"/>
        <v>0</v>
      </c>
      <c r="Q51" s="236">
        <f t="shared" si="13"/>
        <v>0</v>
      </c>
      <c r="R51" s="234">
        <f t="shared" si="13"/>
        <v>0</v>
      </c>
      <c r="S51" s="236">
        <f t="shared" si="13"/>
        <v>0</v>
      </c>
      <c r="T51" s="236">
        <f t="shared" si="13"/>
        <v>0</v>
      </c>
      <c r="U51" s="234">
        <f t="shared" si="13"/>
        <v>0</v>
      </c>
      <c r="V51" s="234">
        <f t="shared" si="13"/>
        <v>0</v>
      </c>
      <c r="W51" s="234">
        <f t="shared" si="13"/>
        <v>0</v>
      </c>
      <c r="X51" s="236">
        <f t="shared" si="13"/>
        <v>0</v>
      </c>
      <c r="Y51" s="234">
        <f t="shared" si="13"/>
        <v>0</v>
      </c>
      <c r="Z51" s="237">
        <f t="shared" si="13"/>
        <v>0</v>
      </c>
      <c r="AA51" s="234">
        <f t="shared" si="13"/>
        <v>0</v>
      </c>
      <c r="AB51" s="234">
        <f t="shared" si="13"/>
        <v>0</v>
      </c>
      <c r="AC51" s="234">
        <f t="shared" si="13"/>
        <v>0</v>
      </c>
      <c r="AD51" s="234">
        <f t="shared" si="13"/>
        <v>0</v>
      </c>
      <c r="AE51" s="236">
        <f t="shared" si="13"/>
        <v>0</v>
      </c>
      <c r="AF51" s="234">
        <f t="shared" si="13"/>
        <v>0</v>
      </c>
      <c r="AG51" s="217" t="str">
        <f t="shared" si="2"/>
        <v>Actual hours worked</v>
      </c>
      <c r="AH51" s="218"/>
      <c r="AI51" s="238">
        <f>SUM(B51:AF51)</f>
        <v>0</v>
      </c>
      <c r="AJ51" s="214"/>
      <c r="AK51" s="209"/>
      <c r="AL51" s="209"/>
      <c r="AM51" s="209"/>
      <c r="AN51" s="239">
        <f ca="1">IF(WEEKDAY(EOMONTH(Monat.Tag1,0),2)=7,0,MAX(0,SUM(OFFSET(B51,0,DAY(EOMONTH(Monat.Tag1,0))-WEEKDAY(EOMONTH(Monat.Tag1,0),2),1,WEEKDAY(EOMONTH(Monat.Tag1,0),2)))))</f>
        <v>0</v>
      </c>
      <c r="AO51" s="209"/>
      <c r="AP51" s="209"/>
      <c r="AQ51" s="119"/>
    </row>
    <row r="52" spans="1:43" s="38" customFormat="1" ht="15" customHeight="1" outlineLevel="1" x14ac:dyDescent="0.2">
      <c r="A52" s="212" t="s">
        <v>211</v>
      </c>
      <c r="B52" s="78">
        <f t="shared" ref="B52:AF52" ca="1" si="14">IF(B$12=0,0,ROUND(INDEX(Monat.RAZ1_7.Bereich,WEEKDAY(B$10,2))*B$11*1440,0)/1440)</f>
        <v>0.35</v>
      </c>
      <c r="C52" s="78">
        <f t="shared" ca="1" si="14"/>
        <v>0.35</v>
      </c>
      <c r="D52" s="79">
        <f t="shared" ca="1" si="14"/>
        <v>0.35</v>
      </c>
      <c r="E52" s="78">
        <f t="shared" ca="1" si="14"/>
        <v>0.35</v>
      </c>
      <c r="F52" s="79">
        <f t="shared" ca="1" si="14"/>
        <v>0</v>
      </c>
      <c r="G52" s="79">
        <f t="shared" ca="1" si="14"/>
        <v>0</v>
      </c>
      <c r="H52" s="79">
        <f t="shared" ca="1" si="14"/>
        <v>0.35</v>
      </c>
      <c r="I52" s="79">
        <f t="shared" ca="1" si="14"/>
        <v>0.35</v>
      </c>
      <c r="J52" s="78">
        <f t="shared" ca="1" si="14"/>
        <v>0.35</v>
      </c>
      <c r="K52" s="79">
        <f t="shared" ca="1" si="14"/>
        <v>0.35</v>
      </c>
      <c r="L52" s="78">
        <f t="shared" ca="1" si="14"/>
        <v>0.35</v>
      </c>
      <c r="M52" s="79">
        <f t="shared" ca="1" si="14"/>
        <v>0</v>
      </c>
      <c r="N52" s="79">
        <f t="shared" ca="1" si="14"/>
        <v>0</v>
      </c>
      <c r="O52" s="79">
        <f t="shared" ca="1" si="14"/>
        <v>0.35</v>
      </c>
      <c r="P52" s="79">
        <f t="shared" ca="1" si="14"/>
        <v>0.35</v>
      </c>
      <c r="Q52" s="78">
        <f t="shared" ca="1" si="14"/>
        <v>0.35</v>
      </c>
      <c r="R52" s="79">
        <f t="shared" ca="1" si="14"/>
        <v>0.35</v>
      </c>
      <c r="S52" s="78">
        <f t="shared" ca="1" si="14"/>
        <v>0.35</v>
      </c>
      <c r="T52" s="78">
        <f t="shared" ca="1" si="14"/>
        <v>0</v>
      </c>
      <c r="U52" s="79">
        <f t="shared" ca="1" si="14"/>
        <v>0</v>
      </c>
      <c r="V52" s="79">
        <f t="shared" ca="1" si="14"/>
        <v>0.35</v>
      </c>
      <c r="W52" s="79">
        <f t="shared" ca="1" si="14"/>
        <v>0.35</v>
      </c>
      <c r="X52" s="78">
        <f t="shared" ca="1" si="14"/>
        <v>0.35</v>
      </c>
      <c r="Y52" s="79">
        <f t="shared" ca="1" si="14"/>
        <v>0.17499999999999999</v>
      </c>
      <c r="Z52" s="80">
        <f t="shared" ca="1" si="14"/>
        <v>0</v>
      </c>
      <c r="AA52" s="79">
        <f t="shared" ca="1" si="14"/>
        <v>0</v>
      </c>
      <c r="AB52" s="79">
        <f t="shared" ca="1" si="14"/>
        <v>0</v>
      </c>
      <c r="AC52" s="79">
        <f t="shared" ca="1" si="14"/>
        <v>0.35</v>
      </c>
      <c r="AD52" s="79">
        <f t="shared" ca="1" si="14"/>
        <v>0.35</v>
      </c>
      <c r="AE52" s="78">
        <f t="shared" ca="1" si="14"/>
        <v>0.35</v>
      </c>
      <c r="AF52" s="79">
        <f t="shared" ca="1" si="14"/>
        <v>0.25</v>
      </c>
      <c r="AG52" s="240" t="str">
        <f t="shared" si="2"/>
        <v>Standardized hours (Info)</v>
      </c>
      <c r="AH52" s="218"/>
      <c r="AI52" s="213"/>
      <c r="AJ52" s="214"/>
      <c r="AK52" s="209"/>
      <c r="AL52" s="209"/>
      <c r="AM52" s="209"/>
      <c r="AN52" s="208"/>
      <c r="AO52" s="209"/>
      <c r="AP52" s="209"/>
      <c r="AQ52" s="119"/>
    </row>
    <row r="53" spans="1:43" s="38" customFormat="1" ht="15" customHeight="1" x14ac:dyDescent="0.2">
      <c r="A53" s="212" t="s">
        <v>212</v>
      </c>
      <c r="B53" s="241">
        <f t="shared" ref="B53:AF53" ca="1" si="15">IF(B$12=0,0,ROUND(INDEX(EB.AZSOLLTag100.Bereich,MATCH(INDEX(EB.Monate.Bereich,MONTH(Monat.Tag1)),EB.Monate.Bereich,0))*B$11*IF(WEEKDAY(B$10,2)&gt;5,0,1)*$V$2/100*1440,0)/1440)</f>
        <v>0.35</v>
      </c>
      <c r="C53" s="241">
        <f t="shared" ca="1" si="15"/>
        <v>0.35</v>
      </c>
      <c r="D53" s="241">
        <f t="shared" ca="1" si="15"/>
        <v>0.35</v>
      </c>
      <c r="E53" s="241">
        <f t="shared" ca="1" si="15"/>
        <v>0.35</v>
      </c>
      <c r="F53" s="241">
        <f t="shared" ca="1" si="15"/>
        <v>0</v>
      </c>
      <c r="G53" s="241">
        <f t="shared" ca="1" si="15"/>
        <v>0</v>
      </c>
      <c r="H53" s="241">
        <f t="shared" ca="1" si="15"/>
        <v>0.35</v>
      </c>
      <c r="I53" s="241">
        <f t="shared" ca="1" si="15"/>
        <v>0.35</v>
      </c>
      <c r="J53" s="241">
        <f t="shared" ca="1" si="15"/>
        <v>0.35</v>
      </c>
      <c r="K53" s="241">
        <f t="shared" ca="1" si="15"/>
        <v>0.35</v>
      </c>
      <c r="L53" s="241">
        <f t="shared" ca="1" si="15"/>
        <v>0.35</v>
      </c>
      <c r="M53" s="241">
        <f t="shared" ca="1" si="15"/>
        <v>0</v>
      </c>
      <c r="N53" s="241">
        <f t="shared" ca="1" si="15"/>
        <v>0</v>
      </c>
      <c r="O53" s="241">
        <f t="shared" ca="1" si="15"/>
        <v>0.35</v>
      </c>
      <c r="P53" s="241">
        <f t="shared" ca="1" si="15"/>
        <v>0.35</v>
      </c>
      <c r="Q53" s="241">
        <f t="shared" ca="1" si="15"/>
        <v>0.35</v>
      </c>
      <c r="R53" s="241">
        <f t="shared" ca="1" si="15"/>
        <v>0.35</v>
      </c>
      <c r="S53" s="241">
        <f t="shared" ca="1" si="15"/>
        <v>0.35</v>
      </c>
      <c r="T53" s="241">
        <f t="shared" ca="1" si="15"/>
        <v>0</v>
      </c>
      <c r="U53" s="241">
        <f t="shared" ca="1" si="15"/>
        <v>0</v>
      </c>
      <c r="V53" s="241">
        <f t="shared" ca="1" si="15"/>
        <v>0.35</v>
      </c>
      <c r="W53" s="241">
        <f t="shared" ca="1" si="15"/>
        <v>0.35</v>
      </c>
      <c r="X53" s="241">
        <f t="shared" ca="1" si="15"/>
        <v>0.35</v>
      </c>
      <c r="Y53" s="241">
        <f t="shared" ca="1" si="15"/>
        <v>0.17499999999999999</v>
      </c>
      <c r="Z53" s="241">
        <f t="shared" ca="1" si="15"/>
        <v>0</v>
      </c>
      <c r="AA53" s="241">
        <f t="shared" ca="1" si="15"/>
        <v>0</v>
      </c>
      <c r="AB53" s="241">
        <f t="shared" ca="1" si="15"/>
        <v>0</v>
      </c>
      <c r="AC53" s="241">
        <f t="shared" ca="1" si="15"/>
        <v>0.35</v>
      </c>
      <c r="AD53" s="241">
        <f t="shared" ca="1" si="15"/>
        <v>0.35</v>
      </c>
      <c r="AE53" s="241">
        <f t="shared" ca="1" si="15"/>
        <v>0.35</v>
      </c>
      <c r="AF53" s="241">
        <f t="shared" ca="1" si="15"/>
        <v>0.25</v>
      </c>
      <c r="AG53" s="205" t="str">
        <f t="shared" si="2"/>
        <v>Req. hours of work FTE</v>
      </c>
      <c r="AH53" s="218"/>
      <c r="AI53" s="238">
        <f ca="1">SUM(B53:AF53)</f>
        <v>7.4249999999999972</v>
      </c>
      <c r="AJ53" s="214"/>
      <c r="AK53" s="209"/>
      <c r="AL53" s="209"/>
      <c r="AM53" s="209"/>
      <c r="AN53" s="208"/>
      <c r="AO53" s="209"/>
      <c r="AP53" s="209"/>
      <c r="AQ53" s="119"/>
    </row>
    <row r="54" spans="1:43" s="38" customFormat="1" ht="15" hidden="1" customHeight="1" outlineLevel="1" x14ac:dyDescent="0.2">
      <c r="A54" s="212" t="s">
        <v>213</v>
      </c>
      <c r="B54" s="241">
        <f t="shared" ref="B54:AF54" ca="1" si="16">ROUND(INDEX(EB.AZSOLLTag100.Bereich,MATCH(INDEX(EB.Monate.Bereich,MONTH(Monat.Tag1)),EB.Monate.Bereich,0))*B$11*IF(WEEKDAY(B$10,2)&gt;5,0,1)*1440,0)/1440</f>
        <v>0.35</v>
      </c>
      <c r="C54" s="241">
        <f t="shared" ca="1" si="16"/>
        <v>0.35</v>
      </c>
      <c r="D54" s="242">
        <f t="shared" ca="1" si="16"/>
        <v>0.35</v>
      </c>
      <c r="E54" s="241">
        <f t="shared" ca="1" si="16"/>
        <v>0.35</v>
      </c>
      <c r="F54" s="242">
        <f t="shared" ca="1" si="16"/>
        <v>0</v>
      </c>
      <c r="G54" s="242">
        <f t="shared" ca="1" si="16"/>
        <v>0</v>
      </c>
      <c r="H54" s="242">
        <f t="shared" ca="1" si="16"/>
        <v>0.35</v>
      </c>
      <c r="I54" s="242">
        <f t="shared" ca="1" si="16"/>
        <v>0.35</v>
      </c>
      <c r="J54" s="241">
        <f t="shared" ca="1" si="16"/>
        <v>0.35</v>
      </c>
      <c r="K54" s="242">
        <f t="shared" ca="1" si="16"/>
        <v>0.35</v>
      </c>
      <c r="L54" s="241">
        <f t="shared" ca="1" si="16"/>
        <v>0.35</v>
      </c>
      <c r="M54" s="242">
        <f t="shared" ca="1" si="16"/>
        <v>0</v>
      </c>
      <c r="N54" s="242">
        <f t="shared" ca="1" si="16"/>
        <v>0</v>
      </c>
      <c r="O54" s="242">
        <f t="shared" ca="1" si="16"/>
        <v>0.35</v>
      </c>
      <c r="P54" s="242">
        <f t="shared" ca="1" si="16"/>
        <v>0.35</v>
      </c>
      <c r="Q54" s="241">
        <f t="shared" ca="1" si="16"/>
        <v>0.35</v>
      </c>
      <c r="R54" s="242">
        <f t="shared" ca="1" si="16"/>
        <v>0.35</v>
      </c>
      <c r="S54" s="241">
        <f t="shared" ca="1" si="16"/>
        <v>0.35</v>
      </c>
      <c r="T54" s="241">
        <f t="shared" ca="1" si="16"/>
        <v>0</v>
      </c>
      <c r="U54" s="242">
        <f t="shared" ca="1" si="16"/>
        <v>0</v>
      </c>
      <c r="V54" s="242">
        <f t="shared" ca="1" si="16"/>
        <v>0.35</v>
      </c>
      <c r="W54" s="242">
        <f t="shared" ca="1" si="16"/>
        <v>0.35</v>
      </c>
      <c r="X54" s="241">
        <f t="shared" ca="1" si="16"/>
        <v>0.35</v>
      </c>
      <c r="Y54" s="242">
        <f t="shared" ca="1" si="16"/>
        <v>0.17499999999999999</v>
      </c>
      <c r="Z54" s="243">
        <f t="shared" ca="1" si="16"/>
        <v>0</v>
      </c>
      <c r="AA54" s="242">
        <f t="shared" ca="1" si="16"/>
        <v>0</v>
      </c>
      <c r="AB54" s="242">
        <f t="shared" ca="1" si="16"/>
        <v>0</v>
      </c>
      <c r="AC54" s="242">
        <f t="shared" ca="1" si="16"/>
        <v>0.35</v>
      </c>
      <c r="AD54" s="242">
        <f t="shared" ca="1" si="16"/>
        <v>0.35</v>
      </c>
      <c r="AE54" s="241">
        <f t="shared" ca="1" si="16"/>
        <v>0.35</v>
      </c>
      <c r="AF54" s="242">
        <f t="shared" ca="1" si="16"/>
        <v>0.25</v>
      </c>
      <c r="AG54" s="205" t="str">
        <f t="shared" si="2"/>
        <v>Req. hours of work 100%</v>
      </c>
      <c r="AH54" s="218"/>
      <c r="AI54" s="238">
        <f ca="1">SUM(B54:AF54)</f>
        <v>7.4249999999999972</v>
      </c>
      <c r="AJ54" s="214"/>
      <c r="AK54" s="209"/>
      <c r="AL54" s="209"/>
      <c r="AM54" s="209"/>
      <c r="AN54" s="208"/>
      <c r="AO54" s="209"/>
      <c r="AP54" s="209"/>
      <c r="AQ54" s="119"/>
    </row>
    <row r="55" spans="1:43" s="38" customFormat="1" ht="15" customHeight="1" collapsed="1" x14ac:dyDescent="0.2">
      <c r="A55" s="244" t="s">
        <v>77</v>
      </c>
      <c r="B55" s="234">
        <f ca="1">ROUND((B51-B53)*1440,0)/1440</f>
        <v>-0.35</v>
      </c>
      <c r="C55" s="234">
        <f t="shared" ref="C55:AF55" ca="1" si="17">ROUND((C51-C53)*1440,0)/1440</f>
        <v>-0.35</v>
      </c>
      <c r="D55" s="234">
        <f t="shared" ca="1" si="17"/>
        <v>-0.35</v>
      </c>
      <c r="E55" s="236">
        <f t="shared" ca="1" si="17"/>
        <v>-0.35</v>
      </c>
      <c r="F55" s="234">
        <f t="shared" ca="1" si="17"/>
        <v>0</v>
      </c>
      <c r="G55" s="234">
        <f t="shared" ca="1" si="17"/>
        <v>0</v>
      </c>
      <c r="H55" s="234">
        <f t="shared" ca="1" si="17"/>
        <v>-0.35</v>
      </c>
      <c r="I55" s="234">
        <f t="shared" ca="1" si="17"/>
        <v>-0.35</v>
      </c>
      <c r="J55" s="236">
        <f t="shared" ca="1" si="17"/>
        <v>-0.35</v>
      </c>
      <c r="K55" s="234">
        <f t="shared" ca="1" si="17"/>
        <v>-0.35</v>
      </c>
      <c r="L55" s="236">
        <f t="shared" ca="1" si="17"/>
        <v>-0.35</v>
      </c>
      <c r="M55" s="234">
        <f t="shared" ca="1" si="17"/>
        <v>0</v>
      </c>
      <c r="N55" s="234">
        <f t="shared" ca="1" si="17"/>
        <v>0</v>
      </c>
      <c r="O55" s="234">
        <f t="shared" ca="1" si="17"/>
        <v>-0.35</v>
      </c>
      <c r="P55" s="234">
        <f t="shared" ca="1" si="17"/>
        <v>-0.35</v>
      </c>
      <c r="Q55" s="236">
        <f t="shared" ca="1" si="17"/>
        <v>-0.35</v>
      </c>
      <c r="R55" s="234">
        <f t="shared" ca="1" si="17"/>
        <v>-0.35</v>
      </c>
      <c r="S55" s="236">
        <f t="shared" ca="1" si="17"/>
        <v>-0.35</v>
      </c>
      <c r="T55" s="236">
        <f t="shared" ca="1" si="17"/>
        <v>0</v>
      </c>
      <c r="U55" s="234">
        <f t="shared" ca="1" si="17"/>
        <v>0</v>
      </c>
      <c r="V55" s="234">
        <f t="shared" ca="1" si="17"/>
        <v>-0.35</v>
      </c>
      <c r="W55" s="234">
        <f t="shared" ca="1" si="17"/>
        <v>-0.35</v>
      </c>
      <c r="X55" s="236">
        <f t="shared" ca="1" si="17"/>
        <v>-0.35</v>
      </c>
      <c r="Y55" s="234">
        <f t="shared" ca="1" si="17"/>
        <v>-0.17499999999999999</v>
      </c>
      <c r="Z55" s="237">
        <f t="shared" ca="1" si="17"/>
        <v>0</v>
      </c>
      <c r="AA55" s="234">
        <f t="shared" ca="1" si="17"/>
        <v>0</v>
      </c>
      <c r="AB55" s="234">
        <f t="shared" ca="1" si="17"/>
        <v>0</v>
      </c>
      <c r="AC55" s="234">
        <f t="shared" ca="1" si="17"/>
        <v>-0.35</v>
      </c>
      <c r="AD55" s="234">
        <f t="shared" ca="1" si="17"/>
        <v>-0.35</v>
      </c>
      <c r="AE55" s="236">
        <f t="shared" ca="1" si="17"/>
        <v>-0.35</v>
      </c>
      <c r="AF55" s="234">
        <f t="shared" ca="1" si="17"/>
        <v>-0.25</v>
      </c>
      <c r="AG55" s="205" t="str">
        <f t="shared" si="2"/>
        <v>+/- required/actual hours daily</v>
      </c>
      <c r="AH55" s="218"/>
      <c r="AI55" s="238">
        <f ca="1">SUM(B55:AF55)</f>
        <v>-7.4249999999999972</v>
      </c>
      <c r="AJ55" s="214"/>
      <c r="AK55" s="209"/>
      <c r="AL55" s="245">
        <f ca="1">IF(EB.Anwendung&lt;&gt;"",IF(MONTH(Monat.Tag1)=1,0,IF(MONTH(Monat.Tag1)=2,January!Monat.Soll_Ist_UeVM,IF(MONTH(Monat.Tag1)=3,February!Monat.Soll_Ist_UeVM,IF(MONTH(Monat.Tag1)=4,March!Monat.Soll_Ist_UeVM,IF(MONTH(Monat.Tag1)=5,April!Monat.Soll_Ist_UeVM,IF(MONTH(Monat.Tag1)=6,May!Monat.Soll_Ist_UeVM,IF(MONTH(Monat.Tag1)=7,June!Monat.Soll_Ist_UeVM,IF(MONTH(Monat.Tag1)=8,July!Monat.Soll_Ist_UeVM,IF(MONTH(Monat.Tag1)=9,August!Monat.Soll_Ist_UeVM,IF(MONTH(Monat.Tag1)=10,September!Monat.Soll_Ist_UeVM,IF(MONTH(Monat.Tag1)=11,October!Monat.Soll_Ist_UeVM,IF(MONTH(Monat.Tag1)=12,November!Monat.Soll_Ist_UeVM,"")))))))))))),"")</f>
        <v>-7.349999999999997</v>
      </c>
      <c r="AM55" s="209"/>
      <c r="AN55" s="246">
        <f ca="1">IF(AH57="+",(AI55+AI57),(AI55-AI57))</f>
        <v>-7.4249999999999972</v>
      </c>
      <c r="AO55" s="246">
        <f ca="1">SUM(OFFSET(J.AZSaldo.Total,-12,0,MONTH(Monat.Tag1),1))</f>
        <v>-88.07499999999996</v>
      </c>
      <c r="AP55" s="246">
        <f ca="1">J.AZSaldo.Total</f>
        <v>-88.07499999999996</v>
      </c>
      <c r="AQ55" s="119"/>
    </row>
    <row r="56" spans="1:43" s="38" customFormat="1" ht="15" customHeight="1" x14ac:dyDescent="0.2">
      <c r="A56" s="244" t="s">
        <v>214</v>
      </c>
      <c r="B56" s="247">
        <f ca="1">IF(EB.Anwendung&lt;&gt;"",IF(DAY(B$10)=1,IF(MONTH(Monat.Tag1)=1,ROUND(EB.ÜVMMS*1440,0)/1440,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B$10&gt;TODAY(),EB.UJAustritt=""),0,B55),
IF(AND(B$10&gt;TODAY(),EB.UJAustritt=""),A56,A56+B55)),"")</f>
        <v>0</v>
      </c>
      <c r="C56" s="247">
        <f ca="1">IF(EB.Anwendung&lt;&gt;"",IF(DAY(C$10)=1,IF(MONTH(Monat.Tag1)=1,ROUND(EB.ÜVMMS*1440,0)/1440,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C$10&gt;TODAY(),EB.UJAustritt=""),0,C55),
IF(AND(C$10&gt;TODAY(),EB.UJAustritt=""),B56,B56+C55)),"")</f>
        <v>0</v>
      </c>
      <c r="D56" s="247">
        <f ca="1">IF(EB.Anwendung&lt;&gt;"",IF(DAY(D$10)=1,IF(MONTH(Monat.Tag1)=1,ROUND(EB.ÜVMMS*1440,0)/1440,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D$10&gt;TODAY(),EB.UJAustritt=""),0,D55),
IF(AND(D$10&gt;TODAY(),EB.UJAustritt=""),C56,C56+D55)),"")</f>
        <v>0</v>
      </c>
      <c r="E56" s="247">
        <f ca="1">IF(EB.Anwendung&lt;&gt;"",IF(DAY(E$10)=1,IF(MONTH(Monat.Tag1)=1,ROUND(EB.ÜVMMS*1440,0)/1440,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E$10&gt;TODAY(),EB.UJAustritt=""),0,E55),
IF(AND(E$10&gt;TODAY(),EB.UJAustritt=""),D56,D56+E55)),"")</f>
        <v>0</v>
      </c>
      <c r="F56" s="247">
        <f ca="1">IF(EB.Anwendung&lt;&gt;"",IF(DAY(F$10)=1,IF(MONTH(Monat.Tag1)=1,ROUND(EB.ÜVMMS*1440,0)/1440,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F$10&gt;TODAY(),EB.UJAustritt=""),0,F55),
IF(AND(F$10&gt;TODAY(),EB.UJAustritt=""),E56,E56+F55)),"")</f>
        <v>0</v>
      </c>
      <c r="G56" s="247">
        <f ca="1">IF(EB.Anwendung&lt;&gt;"",IF(DAY(G$10)=1,IF(MONTH(Monat.Tag1)=1,ROUND(EB.ÜVMMS*1440,0)/1440,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G$10&gt;TODAY(),EB.UJAustritt=""),0,G55),
IF(AND(G$10&gt;TODAY(),EB.UJAustritt=""),F56,F56+G55)),"")</f>
        <v>0</v>
      </c>
      <c r="H56" s="247">
        <f ca="1">IF(EB.Anwendung&lt;&gt;"",IF(DAY(H$10)=1,IF(MONTH(Monat.Tag1)=1,ROUND(EB.ÜVMMS*1440,0)/1440,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H$10&gt;TODAY(),EB.UJAustritt=""),0,H55),
IF(AND(H$10&gt;TODAY(),EB.UJAustritt=""),G56,G56+H55)),"")</f>
        <v>0</v>
      </c>
      <c r="I56" s="247">
        <f ca="1">IF(EB.Anwendung&lt;&gt;"",IF(DAY(I$10)=1,IF(MONTH(Monat.Tag1)=1,ROUND(EB.ÜVMMS*1440,0)/1440,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I$10&gt;TODAY(),EB.UJAustritt=""),0,I55),
IF(AND(I$10&gt;TODAY(),EB.UJAustritt=""),H56,H56+I55)),"")</f>
        <v>0</v>
      </c>
      <c r="J56" s="247">
        <f ca="1">IF(EB.Anwendung&lt;&gt;"",IF(DAY(J$10)=1,IF(MONTH(Monat.Tag1)=1,ROUND(EB.ÜVMMS*1440,0)/1440,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J$10&gt;TODAY(),EB.UJAustritt=""),0,J55),
IF(AND(J$10&gt;TODAY(),EB.UJAustritt=""),I56,I56+J55)),"")</f>
        <v>0</v>
      </c>
      <c r="K56" s="247">
        <f ca="1">IF(EB.Anwendung&lt;&gt;"",IF(DAY(K$10)=1,IF(MONTH(Monat.Tag1)=1,ROUND(EB.ÜVMMS*1440,0)/1440,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K$10&gt;TODAY(),EB.UJAustritt=""),0,K55),
IF(AND(K$10&gt;TODAY(),EB.UJAustritt=""),J56,J56+K55)),"")</f>
        <v>0</v>
      </c>
      <c r="L56" s="247">
        <f ca="1">IF(EB.Anwendung&lt;&gt;"",IF(DAY(L$10)=1,IF(MONTH(Monat.Tag1)=1,ROUND(EB.ÜVMMS*1440,0)/1440,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L$10&gt;TODAY(),EB.UJAustritt=""),0,L55),
IF(AND(L$10&gt;TODAY(),EB.UJAustritt=""),K56,K56+L55)),"")</f>
        <v>0</v>
      </c>
      <c r="M56" s="247">
        <f ca="1">IF(EB.Anwendung&lt;&gt;"",IF(DAY(M$10)=1,IF(MONTH(Monat.Tag1)=1,ROUND(EB.ÜVMMS*1440,0)/1440,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M$10&gt;TODAY(),EB.UJAustritt=""),0,M55),
IF(AND(M$10&gt;TODAY(),EB.UJAustritt=""),L56,L56+M55)),"")</f>
        <v>0</v>
      </c>
      <c r="N56" s="247">
        <f ca="1">IF(EB.Anwendung&lt;&gt;"",IF(DAY(N$10)=1,IF(MONTH(Monat.Tag1)=1,ROUND(EB.ÜVMMS*1440,0)/1440,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N$10&gt;TODAY(),EB.UJAustritt=""),0,N55),
IF(AND(N$10&gt;TODAY(),EB.UJAustritt=""),M56,M56+N55)),"")</f>
        <v>0</v>
      </c>
      <c r="O56" s="247">
        <f ca="1">IF(EB.Anwendung&lt;&gt;"",IF(DAY(O$10)=1,IF(MONTH(Monat.Tag1)=1,ROUND(EB.ÜVMMS*1440,0)/1440,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O$10&gt;TODAY(),EB.UJAustritt=""),0,O55),
IF(AND(O$10&gt;TODAY(),EB.UJAustritt=""),N56,N56+O55)),"")</f>
        <v>0</v>
      </c>
      <c r="P56" s="247">
        <f ca="1">IF(EB.Anwendung&lt;&gt;"",IF(DAY(P$10)=1,IF(MONTH(Monat.Tag1)=1,ROUND(EB.ÜVMMS*1440,0)/1440,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P$10&gt;TODAY(),EB.UJAustritt=""),0,P55),
IF(AND(P$10&gt;TODAY(),EB.UJAustritt=""),O56,O56+P55)),"")</f>
        <v>0</v>
      </c>
      <c r="Q56" s="247">
        <f ca="1">IF(EB.Anwendung&lt;&gt;"",IF(DAY(Q$10)=1,IF(MONTH(Monat.Tag1)=1,ROUND(EB.ÜVMMS*1440,0)/1440,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Q$10&gt;TODAY(),EB.UJAustritt=""),0,Q55),
IF(AND(Q$10&gt;TODAY(),EB.UJAustritt=""),P56,P56+Q55)),"")</f>
        <v>0</v>
      </c>
      <c r="R56" s="247">
        <f ca="1">IF(EB.Anwendung&lt;&gt;"",IF(DAY(R$10)=1,IF(MONTH(Monat.Tag1)=1,ROUND(EB.ÜVMMS*1440,0)/1440,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R$10&gt;TODAY(),EB.UJAustritt=""),0,R55),
IF(AND(R$10&gt;TODAY(),EB.UJAustritt=""),Q56,Q56+R55)),"")</f>
        <v>0</v>
      </c>
      <c r="S56" s="247">
        <f ca="1">IF(EB.Anwendung&lt;&gt;"",IF(DAY(S$10)=1,IF(MONTH(Monat.Tag1)=1,ROUND(EB.ÜVMMS*1440,0)/1440,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S$10&gt;TODAY(),EB.UJAustritt=""),0,S55),
IF(AND(S$10&gt;TODAY(),EB.UJAustritt=""),R56,R56+S55)),"")</f>
        <v>0</v>
      </c>
      <c r="T56" s="247">
        <f ca="1">IF(EB.Anwendung&lt;&gt;"",IF(DAY(T$10)=1,IF(MONTH(Monat.Tag1)=1,ROUND(EB.ÜVMMS*1440,0)/1440,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T$10&gt;TODAY(),EB.UJAustritt=""),0,T55),
IF(AND(T$10&gt;TODAY(),EB.UJAustritt=""),S56,S56+T55)),"")</f>
        <v>0</v>
      </c>
      <c r="U56" s="247">
        <f ca="1">IF(EB.Anwendung&lt;&gt;"",IF(DAY(U$10)=1,IF(MONTH(Monat.Tag1)=1,ROUND(EB.ÜVMMS*1440,0)/1440,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U$10&gt;TODAY(),EB.UJAustritt=""),0,U55),
IF(AND(U$10&gt;TODAY(),EB.UJAustritt=""),T56,T56+U55)),"")</f>
        <v>0</v>
      </c>
      <c r="V56" s="247">
        <f ca="1">IF(EB.Anwendung&lt;&gt;"",IF(DAY(V$10)=1,IF(MONTH(Monat.Tag1)=1,ROUND(EB.ÜVMMS*1440,0)/1440,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V$10&gt;TODAY(),EB.UJAustritt=""),0,V55),
IF(AND(V$10&gt;TODAY(),EB.UJAustritt=""),U56,U56+V55)),"")</f>
        <v>0</v>
      </c>
      <c r="W56" s="247">
        <f ca="1">IF(EB.Anwendung&lt;&gt;"",IF(DAY(W$10)=1,IF(MONTH(Monat.Tag1)=1,ROUND(EB.ÜVMMS*1440,0)/1440,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W$10&gt;TODAY(),EB.UJAustritt=""),0,W55),
IF(AND(W$10&gt;TODAY(),EB.UJAustritt=""),V56,V56+W55)),"")</f>
        <v>0</v>
      </c>
      <c r="X56" s="247">
        <f ca="1">IF(EB.Anwendung&lt;&gt;"",IF(DAY(X$10)=1,IF(MONTH(Monat.Tag1)=1,ROUND(EB.ÜVMMS*1440,0)/1440,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X$10&gt;TODAY(),EB.UJAustritt=""),0,X55),
IF(AND(X$10&gt;TODAY(),EB.UJAustritt=""),W56,W56+X55)),"")</f>
        <v>0</v>
      </c>
      <c r="Y56" s="247">
        <f ca="1">IF(EB.Anwendung&lt;&gt;"",IF(DAY(Y$10)=1,IF(MONTH(Monat.Tag1)=1,ROUND(EB.ÜVMMS*1440,0)/1440,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Y$10&gt;TODAY(),EB.UJAustritt=""),0,Y55),
IF(AND(Y$10&gt;TODAY(),EB.UJAustritt=""),X56,X56+Y55)),"")</f>
        <v>0</v>
      </c>
      <c r="Z56" s="247">
        <f ca="1">IF(EB.Anwendung&lt;&gt;"",IF(DAY(Z$10)=1,IF(MONTH(Monat.Tag1)=1,ROUND(EB.ÜVMMS*1440,0)/1440,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Z$10&gt;TODAY(),EB.UJAustritt=""),0,Z55),
IF(AND(Z$10&gt;TODAY(),EB.UJAustritt=""),Y56,Y56+Z55)),"")</f>
        <v>0</v>
      </c>
      <c r="AA56" s="247">
        <f ca="1">IF(EB.Anwendung&lt;&gt;"",IF(DAY(AA$10)=1,IF(MONTH(Monat.Tag1)=1,ROUND(EB.ÜVMMS*1440,0)/1440,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A$10&gt;TODAY(),EB.UJAustritt=""),0,AA55),
IF(AND(AA$10&gt;TODAY(),EB.UJAustritt=""),Z56,Z56+AA55)),"")</f>
        <v>0</v>
      </c>
      <c r="AB56" s="247">
        <f ca="1">IF(EB.Anwendung&lt;&gt;"",IF(DAY(AB$10)=1,IF(MONTH(Monat.Tag1)=1,ROUND(EB.ÜVMMS*1440,0)/1440,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B$10&gt;TODAY(),EB.UJAustritt=""),0,AB55),
IF(AND(AB$10&gt;TODAY(),EB.UJAustritt=""),AA56,AA56+AB55)),"")</f>
        <v>0</v>
      </c>
      <c r="AC56" s="247">
        <f ca="1">IF(EB.Anwendung&lt;&gt;"",IF(DAY(AC$10)=1,IF(MONTH(Monat.Tag1)=1,ROUND(EB.ÜVMMS*1440,0)/1440,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C$10&gt;TODAY(),EB.UJAustritt=""),0,AC55),
IF(AND(AC$10&gt;TODAY(),EB.UJAustritt=""),AB56,AB56+AC55)),"")</f>
        <v>0</v>
      </c>
      <c r="AD56" s="247">
        <f ca="1">IF(EB.Anwendung&lt;&gt;"",IF(DAY(AD$10)=1,IF(MONTH(Monat.Tag1)=1,ROUND(EB.ÜVMMS*1440,0)/1440,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D$10&gt;TODAY(),EB.UJAustritt=""),0,AD55),
IF(AND(AD$10&gt;TODAY(),EB.UJAustritt=""),AC56,AC56+AD55)),"")</f>
        <v>0</v>
      </c>
      <c r="AE56" s="247">
        <f ca="1">IF(EB.Anwendung&lt;&gt;"",IF(DAY(AE$10)=1,IF(MONTH(Monat.Tag1)=1,ROUND(EB.ÜVMMS*1440,0)/1440,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E$10&gt;TODAY(),EB.UJAustritt=""),0,AE55),
IF(AND(AE$10&gt;TODAY(),EB.UJAustritt=""),AD56,AD56+AE55)),"")</f>
        <v>0</v>
      </c>
      <c r="AF56" s="247">
        <f ca="1">IF(EB.Anwendung&lt;&gt;"",IF(DAY(AF$10)=1,IF(MONTH(Monat.Tag1)=1,ROUND(EB.ÜVMMS*1440,0)/1440,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F$10&gt;TODAY(),EB.UJAustritt=""),0,AF55),
IF(AND(AF$10&gt;TODAY(),EB.UJAustritt=""),AE56,AE56+AF55)),"")</f>
        <v>0</v>
      </c>
      <c r="AG56" s="205" t="str">
        <f t="shared" si="2"/>
        <v>current extra/minus hours</v>
      </c>
      <c r="AH56" s="218"/>
      <c r="AI56" s="238">
        <f ca="1">OFFSET(B56,0,DAY(EOMONTH(Monat.Tag1,0))-1,1,1)</f>
        <v>0</v>
      </c>
      <c r="AJ56" s="214"/>
      <c r="AK56" s="209"/>
      <c r="AL56" s="209"/>
      <c r="AM56" s="209"/>
      <c r="AN56" s="208"/>
      <c r="AO56" s="209"/>
      <c r="AP56" s="209"/>
      <c r="AQ56" s="119"/>
    </row>
    <row r="57" spans="1:43" s="42" customFormat="1" ht="15" customHeight="1" outlineLevel="1" x14ac:dyDescent="0.2">
      <c r="A57" s="248"/>
      <c r="B57" s="249"/>
      <c r="C57" s="249"/>
      <c r="D57" s="249"/>
      <c r="E57" s="191"/>
      <c r="F57" s="249"/>
      <c r="G57" s="249"/>
      <c r="H57" s="250"/>
      <c r="I57" s="249"/>
      <c r="J57" s="251"/>
      <c r="K57" s="249"/>
      <c r="L57" s="252"/>
      <c r="M57" s="249"/>
      <c r="N57" s="249"/>
      <c r="O57" s="250"/>
      <c r="P57" s="249"/>
      <c r="Q57" s="191"/>
      <c r="R57" s="249"/>
      <c r="S57" s="252"/>
      <c r="T57" s="249"/>
      <c r="U57" s="249"/>
      <c r="V57" s="250"/>
      <c r="W57" s="249"/>
      <c r="X57" s="253"/>
      <c r="Y57" s="249"/>
      <c r="Z57" s="191"/>
      <c r="AA57" s="249"/>
      <c r="AB57" s="249"/>
      <c r="AC57" s="250"/>
      <c r="AD57" s="249"/>
      <c r="AE57" s="191"/>
      <c r="AF57" s="254"/>
      <c r="AG57" s="212" t="s">
        <v>117</v>
      </c>
      <c r="AH57" s="43" t="s">
        <v>2</v>
      </c>
      <c r="AI57" s="73"/>
      <c r="AJ57" s="255"/>
      <c r="AK57" s="256"/>
      <c r="AL57" s="209"/>
      <c r="AM57" s="209"/>
      <c r="AN57" s="208"/>
      <c r="AO57" s="257"/>
      <c r="AP57" s="257"/>
      <c r="AQ57" s="163"/>
    </row>
    <row r="58" spans="1:43" s="44" customFormat="1" ht="15" customHeight="1" x14ac:dyDescent="0.2">
      <c r="A58" s="258"/>
      <c r="B58" s="252"/>
      <c r="C58" s="252"/>
      <c r="D58" s="252"/>
      <c r="E58" s="191"/>
      <c r="F58" s="252"/>
      <c r="G58" s="252"/>
      <c r="H58" s="252"/>
      <c r="I58" s="252"/>
      <c r="J58" s="191"/>
      <c r="K58" s="252"/>
      <c r="L58" s="252"/>
      <c r="M58" s="252"/>
      <c r="N58" s="252"/>
      <c r="O58" s="252"/>
      <c r="P58" s="252"/>
      <c r="Q58" s="191"/>
      <c r="R58" s="252"/>
      <c r="S58" s="252"/>
      <c r="T58" s="252"/>
      <c r="U58" s="252"/>
      <c r="V58" s="252"/>
      <c r="W58" s="252"/>
      <c r="X58" s="253"/>
      <c r="Y58" s="252"/>
      <c r="Z58" s="191"/>
      <c r="AA58" s="252"/>
      <c r="AB58" s="252"/>
      <c r="AC58" s="252"/>
      <c r="AD58" s="252"/>
      <c r="AE58" s="191"/>
      <c r="AF58" s="259"/>
      <c r="AG58" s="260" t="s">
        <v>78</v>
      </c>
      <c r="AH58" s="218"/>
      <c r="AI58" s="238">
        <f ca="1">IF(AH57="+",(Monat.ZUeZ.Total+AI57),(Monat.ZUeZ.Total-AI57))</f>
        <v>0</v>
      </c>
      <c r="AJ58" s="261"/>
      <c r="AK58" s="262"/>
      <c r="AL58" s="245">
        <f ca="1">IF(EB.Anwendung&lt;&gt;"",IF(MONTH(Monat.Tag1)=1,EB.MMS,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f>
        <v>0</v>
      </c>
      <c r="AM58" s="209"/>
      <c r="AN58" s="246">
        <f ca="1">AI58</f>
        <v>0</v>
      </c>
      <c r="AO58" s="209"/>
      <c r="AP58" s="209"/>
      <c r="AQ58" s="131"/>
    </row>
    <row r="59" spans="1:43" s="38" customFormat="1" ht="11.25" customHeight="1" x14ac:dyDescent="0.2">
      <c r="A59" s="220"/>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2"/>
      <c r="AG59" s="205"/>
      <c r="AH59" s="188"/>
      <c r="AI59" s="213"/>
      <c r="AJ59" s="214"/>
      <c r="AK59" s="209"/>
      <c r="AL59" s="209"/>
      <c r="AM59" s="209"/>
      <c r="AN59" s="208"/>
      <c r="AO59" s="209"/>
      <c r="AP59" s="209"/>
      <c r="AQ59" s="119"/>
    </row>
    <row r="60" spans="1:43" s="38" customFormat="1" ht="15" customHeight="1" x14ac:dyDescent="0.2">
      <c r="A60" s="212" t="s">
        <v>217</v>
      </c>
      <c r="B60" s="263" t="str">
        <f ca="1">IF(EB.Wochenarbeitszeit=50/24,IF(T.50_Vetsuisse,IF(WEEKDAY(B$10,2)=7,MAX(0,SUM(OFFSET(B51,0,-MIN(6,DAY(B$10)-1),1,MIN(7,DAY(B$10))))+IF(AND(MONTH(Monat.Tag1)&lt;&gt;1,DAY(B$10)&lt;7),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-1/24*50),""),""),IF(B45=0,"",B45))</f>
        <v/>
      </c>
      <c r="C60" s="263" t="str">
        <f ca="1">IF(EB.Wochenarbeitszeit=50/24,IF(T.50_Vetsuisse,IF(WEEKDAY(C$10,2)=7,MAX(0,SUM(OFFSET(C51,0,-MIN(6,DAY(C$10)-1),1,MIN(7,DAY(C$10))))+IF(AND(MONTH(Monat.Tag1)&lt;&gt;1,DAY(C$10)&lt;7),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-1/24*50),""),""),IF(C45=0,"",C45))</f>
        <v/>
      </c>
      <c r="D60" s="263" t="str">
        <f ca="1">IF(EB.Wochenarbeitszeit=50/24,IF(T.50_Vetsuisse,IF(WEEKDAY(D$10,2)=7,MAX(0,SUM(OFFSET(D51,0,-MIN(6,DAY(D$10)-1),1,MIN(7,DAY(D$10))))+IF(AND(MONTH(Monat.Tag1)&lt;&gt;1,DAY(D$10)&lt;7),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-1/24*50),""),""),IF(D45=0,"",D45))</f>
        <v/>
      </c>
      <c r="E60" s="264" t="str">
        <f ca="1">IF(EB.Wochenarbeitszeit=50/24,IF(T.50_Vetsuisse,IF(WEEKDAY(E$10,2)=7,MAX(0,SUM(OFFSET(E51,0,-MIN(6,DAY(E$10)-1),1,MIN(7,DAY(E$10))))+IF(AND(MONTH(Monat.Tag1)&lt;&gt;1,DAY(E$10)&lt;7),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-1/24*50),""),""),IF(E45=0,"",E45))</f>
        <v/>
      </c>
      <c r="F60" s="263" t="str">
        <f ca="1">IF(EB.Wochenarbeitszeit=50/24,IF(T.50_Vetsuisse,IF(WEEKDAY(F$10,2)=7,MAX(0,SUM(OFFSET(F51,0,-MIN(6,DAY(F$10)-1),1,MIN(7,DAY(F$10))))+IF(AND(MONTH(Monat.Tag1)&lt;&gt;1,DAY(F$10)&lt;7),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-1/24*50),""),""),IF(F45=0,"",F45))</f>
        <v/>
      </c>
      <c r="G60" s="263" t="str">
        <f ca="1">IF(EB.Wochenarbeitszeit=50/24,IF(T.50_Vetsuisse,IF(WEEKDAY(G$10,2)=7,MAX(0,SUM(OFFSET(G51,0,-MIN(6,DAY(G$10)-1),1,MIN(7,DAY(G$10))))+IF(AND(MONTH(Monat.Tag1)&lt;&gt;1,DAY(G$10)&lt;7),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-1/24*50),""),""),IF(G45=0,"",G45))</f>
        <v/>
      </c>
      <c r="H60" s="263" t="str">
        <f ca="1">IF(EB.Wochenarbeitszeit=50/24,IF(T.50_Vetsuisse,IF(WEEKDAY(H$10,2)=7,MAX(0,SUM(OFFSET(H51,0,-MIN(6,DAY(H$10)-1),1,MIN(7,DAY(H$10))))+IF(AND(MONTH(Monat.Tag1)&lt;&gt;1,DAY(H$10)&lt;7),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-1/24*50),""),""),IF(H45=0,"",H45))</f>
        <v/>
      </c>
      <c r="I60" s="263" t="str">
        <f ca="1">IF(EB.Wochenarbeitszeit=50/24,IF(T.50_Vetsuisse,IF(WEEKDAY(I$10,2)=7,MAX(0,SUM(OFFSET(I51,0,-MIN(6,DAY(I$10)-1),1,MIN(7,DAY(I$10))))+IF(AND(MONTH(Monat.Tag1)&lt;&gt;1,DAY(I$10)&lt;7),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-1/24*50),""),""),IF(I45=0,"",I45))</f>
        <v/>
      </c>
      <c r="J60" s="264" t="str">
        <f ca="1">IF(EB.Wochenarbeitszeit=50/24,IF(T.50_Vetsuisse,IF(WEEKDAY(J$10,2)=7,MAX(0,SUM(OFFSET(J51,0,-MIN(6,DAY(J$10)-1),1,MIN(7,DAY(J$10))))+IF(AND(MONTH(Monat.Tag1)&lt;&gt;1,DAY(J$10)&lt;7),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-1/24*50),""),""),IF(J45=0,"",J45))</f>
        <v/>
      </c>
      <c r="K60" s="263" t="str">
        <f ca="1">IF(EB.Wochenarbeitszeit=50/24,IF(T.50_Vetsuisse,IF(WEEKDAY(K$10,2)=7,MAX(0,SUM(OFFSET(K51,0,-MIN(6,DAY(K$10)-1),1,MIN(7,DAY(K$10))))+IF(AND(MONTH(Monat.Tag1)&lt;&gt;1,DAY(K$10)&lt;7),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-1/24*50),""),""),IF(K45=0,"",K45))</f>
        <v/>
      </c>
      <c r="L60" s="264" t="str">
        <f ca="1">IF(EB.Wochenarbeitszeit=50/24,IF(T.50_Vetsuisse,IF(WEEKDAY(L$10,2)=7,MAX(0,SUM(OFFSET(L51,0,-MIN(6,DAY(L$10)-1),1,MIN(7,DAY(L$10))))+IF(AND(MONTH(Monat.Tag1)&lt;&gt;1,DAY(L$10)&lt;7),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-1/24*50),""),""),IF(L45=0,"",L45))</f>
        <v/>
      </c>
      <c r="M60" s="263" t="str">
        <f ca="1">IF(EB.Wochenarbeitszeit=50/24,IF(T.50_Vetsuisse,IF(WEEKDAY(M$10,2)=7,MAX(0,SUM(OFFSET(M51,0,-MIN(6,DAY(M$10)-1),1,MIN(7,DAY(M$10))))+IF(AND(MONTH(Monat.Tag1)&lt;&gt;1,DAY(M$10)&lt;7),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-1/24*50),""),""),IF(M45=0,"",M45))</f>
        <v/>
      </c>
      <c r="N60" s="263" t="str">
        <f ca="1">IF(EB.Wochenarbeitszeit=50/24,IF(T.50_Vetsuisse,IF(WEEKDAY(N$10,2)=7,MAX(0,SUM(OFFSET(N51,0,-MIN(6,DAY(N$10)-1),1,MIN(7,DAY(N$10))))+IF(AND(MONTH(Monat.Tag1)&lt;&gt;1,DAY(N$10)&lt;7),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-1/24*50),""),""),IF(N45=0,"",N45))</f>
        <v/>
      </c>
      <c r="O60" s="263" t="str">
        <f ca="1">IF(EB.Wochenarbeitszeit=50/24,IF(T.50_Vetsuisse,IF(WEEKDAY(O$10,2)=7,MAX(0,SUM(OFFSET(O51,0,-MIN(6,DAY(O$10)-1),1,MIN(7,DAY(O$10))))+IF(AND(MONTH(Monat.Tag1)&lt;&gt;1,DAY(O$10)&lt;7),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-1/24*50),""),""),IF(O45=0,"",O45))</f>
        <v/>
      </c>
      <c r="P60" s="263" t="str">
        <f ca="1">IF(EB.Wochenarbeitszeit=50/24,IF(T.50_Vetsuisse,IF(WEEKDAY(P$10,2)=7,MAX(0,SUM(OFFSET(P51,0,-MIN(6,DAY(P$10)-1),1,MIN(7,DAY(P$10))))+IF(AND(MONTH(Monat.Tag1)&lt;&gt;1,DAY(P$10)&lt;7),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-1/24*50),""),""),IF(P45=0,"",P45))</f>
        <v/>
      </c>
      <c r="Q60" s="264" t="str">
        <f ca="1">IF(EB.Wochenarbeitszeit=50/24,IF(T.50_Vetsuisse,IF(WEEKDAY(Q$10,2)=7,MAX(0,SUM(OFFSET(Q51,0,-MIN(6,DAY(Q$10)-1),1,MIN(7,DAY(Q$10))))+IF(AND(MONTH(Monat.Tag1)&lt;&gt;1,DAY(Q$10)&lt;7),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-1/24*50),""),""),IF(Q45=0,"",Q45))</f>
        <v/>
      </c>
      <c r="R60" s="263" t="str">
        <f ca="1">IF(EB.Wochenarbeitszeit=50/24,IF(T.50_Vetsuisse,IF(WEEKDAY(R$10,2)=7,MAX(0,SUM(OFFSET(R51,0,-MIN(6,DAY(R$10)-1),1,MIN(7,DAY(R$10))))+IF(AND(MONTH(Monat.Tag1)&lt;&gt;1,DAY(R$10)&lt;7),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-1/24*50),""),""),IF(R45=0,"",R45))</f>
        <v/>
      </c>
      <c r="S60" s="264" t="str">
        <f ca="1">IF(EB.Wochenarbeitszeit=50/24,IF(T.50_Vetsuisse,IF(WEEKDAY(S$10,2)=7,MAX(0,SUM(OFFSET(S51,0,-MIN(6,DAY(S$10)-1),1,MIN(7,DAY(S$10))))+IF(AND(MONTH(Monat.Tag1)&lt;&gt;1,DAY(S$10)&lt;7),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-1/24*50),""),""),IF(S45=0,"",S45))</f>
        <v/>
      </c>
      <c r="T60" s="264" t="str">
        <f ca="1">IF(EB.Wochenarbeitszeit=50/24,IF(T.50_Vetsuisse,IF(WEEKDAY(T$10,2)=7,MAX(0,SUM(OFFSET(T51,0,-MIN(6,DAY(T$10)-1),1,MIN(7,DAY(T$10))))+IF(AND(MONTH(Monat.Tag1)&lt;&gt;1,DAY(T$10)&lt;7),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-1/24*50),""),""),IF(T45=0,"",T45))</f>
        <v/>
      </c>
      <c r="U60" s="263" t="str">
        <f ca="1">IF(EB.Wochenarbeitszeit=50/24,IF(T.50_Vetsuisse,IF(WEEKDAY(U$10,2)=7,MAX(0,SUM(OFFSET(U51,0,-MIN(6,DAY(U$10)-1),1,MIN(7,DAY(U$10))))+IF(AND(MONTH(Monat.Tag1)&lt;&gt;1,DAY(U$10)&lt;7),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-1/24*50),""),""),IF(U45=0,"",U45))</f>
        <v/>
      </c>
      <c r="V60" s="263" t="str">
        <f ca="1">IF(EB.Wochenarbeitszeit=50/24,IF(T.50_Vetsuisse,IF(WEEKDAY(V$10,2)=7,MAX(0,SUM(OFFSET(V51,0,-MIN(6,DAY(V$10)-1),1,MIN(7,DAY(V$10))))+IF(AND(MONTH(Monat.Tag1)&lt;&gt;1,DAY(V$10)&lt;7),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-1/24*50),""),""),IF(V45=0,"",V45))</f>
        <v/>
      </c>
      <c r="W60" s="263" t="str">
        <f ca="1">IF(EB.Wochenarbeitszeit=50/24,IF(T.50_Vetsuisse,IF(WEEKDAY(W$10,2)=7,MAX(0,SUM(OFFSET(W51,0,-MIN(6,DAY(W$10)-1),1,MIN(7,DAY(W$10))))+IF(AND(MONTH(Monat.Tag1)&lt;&gt;1,DAY(W$10)&lt;7),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-1/24*50),""),""),IF(W45=0,"",W45))</f>
        <v/>
      </c>
      <c r="X60" s="264" t="str">
        <f ca="1">IF(EB.Wochenarbeitszeit=50/24,IF(T.50_Vetsuisse,IF(WEEKDAY(X$10,2)=7,MAX(0,SUM(OFFSET(X51,0,-MIN(6,DAY(X$10)-1),1,MIN(7,DAY(X$10))))+IF(AND(MONTH(Monat.Tag1)&lt;&gt;1,DAY(X$10)&lt;7),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-1/24*50),""),""),IF(X45=0,"",X45))</f>
        <v/>
      </c>
      <c r="Y60" s="263" t="str">
        <f ca="1">IF(EB.Wochenarbeitszeit=50/24,IF(T.50_Vetsuisse,IF(WEEKDAY(Y$10,2)=7,MAX(0,SUM(OFFSET(Y51,0,-MIN(6,DAY(Y$10)-1),1,MIN(7,DAY(Y$10))))+IF(AND(MONTH(Monat.Tag1)&lt;&gt;1,DAY(Y$10)&lt;7),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-1/24*50),""),""),IF(Y45=0,"",Y45))</f>
        <v/>
      </c>
      <c r="Z60" s="265" t="str">
        <f ca="1">IF(EB.Wochenarbeitszeit=50/24,IF(T.50_Vetsuisse,IF(WEEKDAY(Z$10,2)=7,MAX(0,SUM(OFFSET(Z51,0,-MIN(6,DAY(Z$10)-1),1,MIN(7,DAY(Z$10))))+IF(AND(MONTH(Monat.Tag1)&lt;&gt;1,DAY(Z$10)&lt;7),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-1/24*50),""),""),IF(Z45=0,"",Z45))</f>
        <v/>
      </c>
      <c r="AA60" s="263" t="str">
        <f ca="1">IF(EB.Wochenarbeitszeit=50/24,IF(T.50_Vetsuisse,IF(WEEKDAY(AA$10,2)=7,MAX(0,SUM(OFFSET(AA51,0,-MIN(6,DAY(AA$10)-1),1,MIN(7,DAY(AA$10))))+IF(AND(MONTH(Monat.Tag1)&lt;&gt;1,DAY(AA$10)&lt;7),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-1/24*50),""),""),IF(AA45=0,"",AA45))</f>
        <v/>
      </c>
      <c r="AB60" s="263" t="str">
        <f ca="1">IF(EB.Wochenarbeitszeit=50/24,IF(T.50_Vetsuisse,IF(WEEKDAY(AB$10,2)=7,MAX(0,SUM(OFFSET(AB51,0,-MIN(6,DAY(AB$10)-1),1,MIN(7,DAY(AB$10))))+IF(AND(MONTH(Monat.Tag1)&lt;&gt;1,DAY(AB$10)&lt;7),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-1/24*50),""),""),IF(AB45=0,"",AB45))</f>
        <v/>
      </c>
      <c r="AC60" s="263" t="str">
        <f ca="1">IF(EB.Wochenarbeitszeit=50/24,IF(T.50_Vetsuisse,IF(WEEKDAY(AC$10,2)=7,MAX(0,SUM(OFFSET(AC51,0,-MIN(6,DAY(AC$10)-1),1,MIN(7,DAY(AC$10))))+IF(AND(MONTH(Monat.Tag1)&lt;&gt;1,DAY(AC$10)&lt;7),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-1/24*50),""),""),IF(AC45=0,"",AC45))</f>
        <v/>
      </c>
      <c r="AD60" s="263" t="str">
        <f ca="1">IF(EB.Wochenarbeitszeit=50/24,IF(T.50_Vetsuisse,IF(WEEKDAY(AD$10,2)=7,MAX(0,SUM(OFFSET(AD51,0,-MIN(6,DAY(AD$10)-1),1,MIN(7,DAY(AD$10))))+IF(AND(MONTH(Monat.Tag1)&lt;&gt;1,DAY(AD$10)&lt;7),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-1/24*50),""),""),IF(AD45=0,"",AD45))</f>
        <v/>
      </c>
      <c r="AE60" s="264" t="str">
        <f ca="1">IF(EB.Wochenarbeitszeit=50/24,IF(T.50_Vetsuisse,IF(WEEKDAY(AE$10,2)=7,MAX(0,SUM(OFFSET(AE51,0,-MIN(6,DAY(AE$10)-1),1,MIN(7,DAY(AE$10))))+IF(AND(MONTH(Monat.Tag1)&lt;&gt;1,DAY(AE$10)&lt;7),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-1/24*50),""),""),IF(AE45=0,"",AE45))</f>
        <v/>
      </c>
      <c r="AF60" s="263" t="str">
        <f ca="1">IF(EB.Wochenarbeitszeit=50/24,IF(T.50_Vetsuisse,IF(WEEKDAY(AF$10,2)=7,MAX(0,SUM(OFFSET(AF51,0,-MIN(6,DAY(AF$10)-1),1,MIN(7,DAY(AF$10))))+IF(AND(MONTH(Monat.Tag1)&lt;&gt;1,DAY(AF$10)&lt;7),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-1/24*50),""),""),IF(AF45=0,"",AF45))</f>
        <v/>
      </c>
      <c r="AG60" s="205" t="str">
        <f>A60</f>
        <v>Ordered overtime</v>
      </c>
      <c r="AH60" s="218"/>
      <c r="AI60" s="238">
        <f ca="1">SUM(B60:AF60)</f>
        <v>0</v>
      </c>
      <c r="AJ60" s="214"/>
      <c r="AK60" s="209"/>
      <c r="AL60" s="245">
        <f ca="1">IF(EB.Anwendung&lt;&gt;"",IF(MONTH(Monat.Tag1)=1,0,IF(MONTH(Monat.Tag1)=2,January!Monat.AnUeZUeVM,IF(MONTH(Monat.Tag1)=3,February!Monat.AnUeZUeVM,IF(MONTH(Monat.Tag1)=4,March!Monat.AnUeZUeVM,IF(MONTH(Monat.Tag1)=5,April!Monat.AnUeZUeVM,IF(MONTH(Monat.Tag1)=6,May!Monat.AnUeZUeVM,IF(MONTH(Monat.Tag1)=7,June!Monat.AnUeZUeVM,IF(MONTH(Monat.Tag1)=8,July!Monat.AnUeZUeVM,IF(MONTH(Monat.Tag1)=9,August!Monat.AnUeZUeVM,IF(MONTH(Monat.Tag1)=10,September!Monat.AnUeZUeVM,IF(MONTH(Monat.Tag1)=11,October!Monat.AnUeZUeVM,IF(MONTH(Monat.Tag1)=12,November!Monat.AnUeZUeVM,"")))))))))))),"")</f>
        <v>0</v>
      </c>
      <c r="AM60" s="209"/>
      <c r="AN60" s="246">
        <f ca="1">AI60+AL60</f>
        <v>0</v>
      </c>
      <c r="AO60" s="246">
        <f ca="1">SUM(OFFSET(Jahr.AngÜZ,-12,0,MONTH(Monat.Tag1),1))</f>
        <v>0</v>
      </c>
      <c r="AP60" s="246">
        <f ca="1">Jahr.AngÜZ</f>
        <v>0</v>
      </c>
      <c r="AQ60" s="119"/>
    </row>
    <row r="61" spans="1:43" s="38" customFormat="1" ht="15" customHeight="1" x14ac:dyDescent="0.2">
      <c r="A61" s="212" t="s">
        <v>218</v>
      </c>
      <c r="B61" s="27"/>
      <c r="C61" s="27"/>
      <c r="D61" s="27"/>
      <c r="E61" s="27"/>
      <c r="F61" s="27"/>
      <c r="G61" s="27"/>
      <c r="H61" s="27"/>
      <c r="I61" s="27"/>
      <c r="J61" s="27"/>
      <c r="K61" s="27"/>
      <c r="L61" s="27"/>
      <c r="M61" s="27"/>
      <c r="N61" s="27"/>
      <c r="O61" s="27"/>
      <c r="P61" s="27"/>
      <c r="Q61" s="27"/>
      <c r="R61" s="27"/>
      <c r="S61" s="27"/>
      <c r="T61" s="27"/>
      <c r="U61" s="27"/>
      <c r="V61" s="27"/>
      <c r="W61" s="27"/>
      <c r="X61" s="27"/>
      <c r="Y61" s="27"/>
      <c r="Z61" s="39"/>
      <c r="AA61" s="27"/>
      <c r="AB61" s="27"/>
      <c r="AC61" s="27"/>
      <c r="AD61" s="27"/>
      <c r="AE61" s="27"/>
      <c r="AF61" s="27"/>
      <c r="AG61" s="205" t="str">
        <f>A61</f>
        <v>Compensation overtime</v>
      </c>
      <c r="AH61" s="218"/>
      <c r="AI61" s="238">
        <f>SUM(B61:AF61)</f>
        <v>0</v>
      </c>
      <c r="AJ61" s="214"/>
      <c r="AK61" s="209"/>
      <c r="AL61" s="209"/>
      <c r="AM61" s="209"/>
      <c r="AN61" s="208"/>
      <c r="AO61" s="209"/>
      <c r="AP61" s="209"/>
      <c r="AQ61" s="119"/>
    </row>
    <row r="62" spans="1:43" s="42" customFormat="1" ht="15" hidden="1" customHeight="1" outlineLevel="1" x14ac:dyDescent="0.2">
      <c r="A62" s="248"/>
      <c r="B62" s="253"/>
      <c r="C62" s="253"/>
      <c r="D62" s="253"/>
      <c r="E62" s="191"/>
      <c r="F62" s="253"/>
      <c r="G62" s="253"/>
      <c r="H62" s="253"/>
      <c r="I62" s="253"/>
      <c r="J62" s="251"/>
      <c r="K62" s="253"/>
      <c r="L62" s="252"/>
      <c r="M62" s="253"/>
      <c r="N62" s="253"/>
      <c r="O62" s="253"/>
      <c r="P62" s="253"/>
      <c r="Q62" s="191"/>
      <c r="R62" s="253"/>
      <c r="S62" s="252"/>
      <c r="T62" s="253"/>
      <c r="U62" s="253"/>
      <c r="V62" s="253"/>
      <c r="W62" s="253"/>
      <c r="X62" s="253"/>
      <c r="Y62" s="253"/>
      <c r="Z62" s="191"/>
      <c r="AA62" s="253"/>
      <c r="AB62" s="253"/>
      <c r="AC62" s="253"/>
      <c r="AD62" s="253"/>
      <c r="AE62" s="191"/>
      <c r="AF62" s="266"/>
      <c r="AG62" s="267" t="s">
        <v>118</v>
      </c>
      <c r="AH62" s="268"/>
      <c r="AI62" s="238">
        <f ca="1">Monat.AnUeZ.Total-Monat.KomUeZ.Total</f>
        <v>0</v>
      </c>
      <c r="AJ62" s="214"/>
      <c r="AK62" s="257"/>
      <c r="AL62" s="257"/>
      <c r="AM62" s="209"/>
      <c r="AN62" s="257"/>
      <c r="AO62" s="257"/>
      <c r="AP62" s="257"/>
      <c r="AQ62" s="163"/>
    </row>
    <row r="63" spans="1:43" s="38" customFormat="1" ht="15" customHeight="1" collapsed="1" x14ac:dyDescent="0.2">
      <c r="A63" s="220"/>
      <c r="B63" s="191"/>
      <c r="C63" s="191"/>
      <c r="D63" s="191"/>
      <c r="E63" s="191"/>
      <c r="F63" s="191"/>
      <c r="G63" s="191"/>
      <c r="H63" s="191"/>
      <c r="I63" s="191"/>
      <c r="J63" s="191"/>
      <c r="K63" s="191"/>
      <c r="L63" s="252"/>
      <c r="M63" s="191"/>
      <c r="N63" s="191"/>
      <c r="O63" s="191"/>
      <c r="P63" s="191"/>
      <c r="Q63" s="191"/>
      <c r="R63" s="191"/>
      <c r="S63" s="252"/>
      <c r="T63" s="191"/>
      <c r="U63" s="191"/>
      <c r="V63" s="191"/>
      <c r="W63" s="191"/>
      <c r="X63" s="253"/>
      <c r="Y63" s="191"/>
      <c r="Z63" s="191"/>
      <c r="AA63" s="191"/>
      <c r="AB63" s="191"/>
      <c r="AC63" s="191"/>
      <c r="AD63" s="191"/>
      <c r="AE63" s="191"/>
      <c r="AF63" s="269"/>
      <c r="AG63" s="212" t="s">
        <v>215</v>
      </c>
      <c r="AH63" s="218"/>
      <c r="AI63" s="238">
        <f ca="1">IF(T.50_Vetsuisse,0,IF(AND(AI62&gt;0,Monat.ÜZZSBerechtigt=INDEX(T.JaNein.Bereich,1,1)),ROUND(AI62*0.25*1440,0)/1440,0))</f>
        <v>0</v>
      </c>
      <c r="AJ63" s="214"/>
      <c r="AK63" s="209"/>
      <c r="AL63" s="257"/>
      <c r="AM63" s="209"/>
      <c r="AN63" s="257"/>
      <c r="AO63" s="257"/>
      <c r="AP63" s="257"/>
      <c r="AQ63" s="119"/>
    </row>
    <row r="64" spans="1:43" s="38" customFormat="1" ht="15" hidden="1" customHeight="1" outlineLevel="1" x14ac:dyDescent="0.2">
      <c r="A64" s="220"/>
      <c r="B64" s="191"/>
      <c r="C64" s="191"/>
      <c r="D64" s="191"/>
      <c r="E64" s="191"/>
      <c r="F64" s="191"/>
      <c r="G64" s="191"/>
      <c r="H64" s="191"/>
      <c r="I64" s="191"/>
      <c r="J64" s="191"/>
      <c r="K64" s="191"/>
      <c r="L64" s="252"/>
      <c r="M64" s="191"/>
      <c r="N64" s="191"/>
      <c r="O64" s="191"/>
      <c r="P64" s="191"/>
      <c r="Q64" s="191"/>
      <c r="R64" s="191"/>
      <c r="S64" s="252"/>
      <c r="T64" s="191"/>
      <c r="U64" s="191"/>
      <c r="V64" s="191"/>
      <c r="W64" s="191"/>
      <c r="X64" s="253"/>
      <c r="Y64" s="191"/>
      <c r="Z64" s="191"/>
      <c r="AA64" s="191"/>
      <c r="AB64" s="191"/>
      <c r="AC64" s="191"/>
      <c r="AD64" s="191"/>
      <c r="AE64" s="191"/>
      <c r="AF64" s="269"/>
      <c r="AG64" s="212" t="s">
        <v>119</v>
      </c>
      <c r="AH64" s="45" t="s">
        <v>2</v>
      </c>
      <c r="AI64" s="46"/>
      <c r="AJ64" s="270"/>
      <c r="AK64" s="209"/>
      <c r="AL64" s="257"/>
      <c r="AM64" s="209"/>
      <c r="AN64" s="257"/>
      <c r="AO64" s="257"/>
      <c r="AP64" s="257"/>
      <c r="AQ64" s="119"/>
    </row>
    <row r="65" spans="1:43" s="42" customFormat="1" ht="15" customHeight="1" collapsed="1" x14ac:dyDescent="0.2">
      <c r="A65" s="248"/>
      <c r="B65" s="253"/>
      <c r="C65" s="253"/>
      <c r="D65" s="253"/>
      <c r="E65" s="191"/>
      <c r="F65" s="253"/>
      <c r="G65" s="253"/>
      <c r="H65" s="253"/>
      <c r="I65" s="253"/>
      <c r="J65" s="191"/>
      <c r="K65" s="253"/>
      <c r="L65" s="252"/>
      <c r="M65" s="253"/>
      <c r="N65" s="253"/>
      <c r="O65" s="253"/>
      <c r="P65" s="253"/>
      <c r="Q65" s="191"/>
      <c r="R65" s="253"/>
      <c r="S65" s="252"/>
      <c r="T65" s="253"/>
      <c r="U65" s="253"/>
      <c r="V65" s="253"/>
      <c r="W65" s="253"/>
      <c r="X65" s="253"/>
      <c r="Y65" s="253"/>
      <c r="Z65" s="191"/>
      <c r="AA65" s="253"/>
      <c r="AB65" s="253"/>
      <c r="AC65" s="253"/>
      <c r="AD65" s="253"/>
      <c r="AE65" s="191"/>
      <c r="AF65" s="266"/>
      <c r="AG65" s="260" t="s">
        <v>219</v>
      </c>
      <c r="AH65" s="268"/>
      <c r="AI65" s="238">
        <f ca="1">IF(AH64="+",(AI62+AI63+AI64),(AI62+AI63-AI64))</f>
        <v>0</v>
      </c>
      <c r="AJ65" s="261"/>
      <c r="AK65" s="271"/>
      <c r="AL65" s="245">
        <f ca="1">IF(EB.Anwendung&lt;&gt;"",IF(MONTH(Monat.Tag1)=1,EB.UeZ,IF(MONTH(Monat.Tag1)=2,January!Monat.UeZUeVM,IF(MONTH(Monat.Tag1)=3,February!Monat.UeZUeVM,IF(MONTH(Monat.Tag1)=4,March!Monat.UeZUeVM,IF(MONTH(Monat.Tag1)=5,April!Monat.UeZUeVM,IF(MONTH(Monat.Tag1)=6,May!Monat.UeZUeVM,IF(MONTH(Monat.Tag1)=7,June!Monat.UeZUeVM,IF(MONTH(Monat.Tag1)=8,July!Monat.UeZUeVM,IF(MONTH(Monat.Tag1)=9,August!Monat.UeZUeVM,IF(MONTH(Monat.Tag1)=10,September!Monat.UeZUeVM,IF(MONTH(Monat.Tag1)=11,October!Monat.UeZUeVM,IF(MONTH(Monat.Tag1)=12,November!Monat.UeZUeVM,"")))))))))))),"")</f>
        <v>0</v>
      </c>
      <c r="AM65" s="209"/>
      <c r="AN65" s="246">
        <f ca="1">AI65+AL65</f>
        <v>0</v>
      </c>
      <c r="AO65" s="246">
        <f ca="1">SUM(OFFSET(J.UeZ.Total,-12,0,MONTH(Monat.Tag1),1))</f>
        <v>0</v>
      </c>
      <c r="AP65" s="246">
        <f ca="1">J.UeZ.Total</f>
        <v>0</v>
      </c>
      <c r="AQ65" s="163"/>
    </row>
    <row r="66" spans="1:43" s="38" customFormat="1" ht="11.25" customHeight="1" outlineLevel="1" x14ac:dyDescent="0.2">
      <c r="A66" s="220"/>
      <c r="B66" s="354">
        <f ca="1">IF(EB.Anwendung&lt;&gt;"",
IF(AND(B$10&gt;TODAY(),$W$7&gt;0,B52&lt;=0),0,
IF(AND(B$10&gt;TODAY(),$W$7&lt;=0,B53&lt;=0),0,
IF(B85&lt;=0,1,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f>
        <v>1</v>
      </c>
      <c r="C66" s="354">
        <f ca="1">IF(EB.Anwendung&lt;&gt;"",
IF(AND(C$10&gt;TODAY(),$W$7&gt;0,C52&lt;=0),0,
IF(AND(C$10&gt;TODAY(),$W$7&lt;=0,C53&lt;=0),0,
IF(C85&lt;=0,1,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f>
        <v>1</v>
      </c>
      <c r="D66" s="354">
        <f ca="1">IF(EB.Anwendung&lt;&gt;"",
IF(AND(D$10&gt;TODAY(),$W$7&gt;0,D52&lt;=0),0,
IF(AND(D$10&gt;TODAY(),$W$7&lt;=0,D53&lt;=0),0,
IF(D85&lt;=0,1,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f>
        <v>1</v>
      </c>
      <c r="E66" s="354">
        <f ca="1">IF(EB.Anwendung&lt;&gt;"",
IF(AND(E$10&gt;TODAY(),$W$7&gt;0,E52&lt;=0),0,
IF(AND(E$10&gt;TODAY(),$W$7&lt;=0,E53&lt;=0),0,
IF(E85&lt;=0,1,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f>
        <v>1</v>
      </c>
      <c r="F66" s="354">
        <f ca="1">IF(EB.Anwendung&lt;&gt;"",
IF(AND(F$10&gt;TODAY(),$W$7&gt;0,F52&lt;=0),0,
IF(AND(F$10&gt;TODAY(),$W$7&lt;=0,F53&lt;=0),0,
IF(F85&lt;=0,1,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f>
        <v>0</v>
      </c>
      <c r="G66" s="354">
        <f ca="1">IF(EB.Anwendung&lt;&gt;"",
IF(AND(G$10&gt;TODAY(),$W$7&gt;0,G52&lt;=0),0,
IF(AND(G$10&gt;TODAY(),$W$7&lt;=0,G53&lt;=0),0,
IF(G85&lt;=0,1,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f>
        <v>0</v>
      </c>
      <c r="H66" s="354">
        <f ca="1">IF(EB.Anwendung&lt;&gt;"",
IF(AND(H$10&gt;TODAY(),$W$7&gt;0,H52&lt;=0),0,
IF(AND(H$10&gt;TODAY(),$W$7&lt;=0,H53&lt;=0),0,
IF(H85&lt;=0,1,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f>
        <v>1</v>
      </c>
      <c r="I66" s="354">
        <f ca="1">IF(EB.Anwendung&lt;&gt;"",
IF(AND(I$10&gt;TODAY(),$W$7&gt;0,I52&lt;=0),0,
IF(AND(I$10&gt;TODAY(),$W$7&lt;=0,I53&lt;=0),0,
IF(I85&lt;=0,1,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f>
        <v>1</v>
      </c>
      <c r="J66" s="354">
        <f ca="1">IF(EB.Anwendung&lt;&gt;"",
IF(AND(J$10&gt;TODAY(),$W$7&gt;0,J52&lt;=0),0,
IF(AND(J$10&gt;TODAY(),$W$7&lt;=0,J53&lt;=0),0,
IF(J85&lt;=0,1,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f>
        <v>1</v>
      </c>
      <c r="K66" s="354">
        <f ca="1">IF(EB.Anwendung&lt;&gt;"",
IF(AND(K$10&gt;TODAY(),$W$7&gt;0,K52&lt;=0),0,
IF(AND(K$10&gt;TODAY(),$W$7&lt;=0,K53&lt;=0),0,
IF(K85&lt;=0,1,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f>
        <v>1</v>
      </c>
      <c r="L66" s="431">
        <f ca="1">IF(EB.Anwendung&lt;&gt;"",
IF(AND(L$10&gt;TODAY(),$W$7&gt;0,L52&lt;=0),0,
IF(AND(L$10&gt;TODAY(),$W$7&lt;=0,L53&lt;=0),0,
IF(L85&lt;=0,1,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f>
        <v>1</v>
      </c>
      <c r="M66" s="354">
        <f ca="1">IF(EB.Anwendung&lt;&gt;"",
IF(AND(M$10&gt;TODAY(),$W$7&gt;0,M52&lt;=0),0,
IF(AND(M$10&gt;TODAY(),$W$7&lt;=0,M53&lt;=0),0,
IF(M85&lt;=0,1,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f>
        <v>0</v>
      </c>
      <c r="N66" s="354">
        <f ca="1">IF(EB.Anwendung&lt;&gt;"",
IF(AND(N$10&gt;TODAY(),$W$7&gt;0,N52&lt;=0),0,
IF(AND(N$10&gt;TODAY(),$W$7&lt;=0,N53&lt;=0),0,
IF(N85&lt;=0,1,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f>
        <v>0</v>
      </c>
      <c r="O66" s="354">
        <f ca="1">IF(EB.Anwendung&lt;&gt;"",
IF(AND(O$10&gt;TODAY(),$W$7&gt;0,O52&lt;=0),0,
IF(AND(O$10&gt;TODAY(),$W$7&lt;=0,O53&lt;=0),0,
IF(O85&lt;=0,1,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f>
        <v>1</v>
      </c>
      <c r="P66" s="354">
        <f ca="1">IF(EB.Anwendung&lt;&gt;"",
IF(AND(P$10&gt;TODAY(),$W$7&gt;0,P52&lt;=0),0,
IF(AND(P$10&gt;TODAY(),$W$7&lt;=0,P53&lt;=0),0,
IF(P85&lt;=0,1,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f>
        <v>1</v>
      </c>
      <c r="Q66" s="354">
        <f ca="1">IF(EB.Anwendung&lt;&gt;"",
IF(AND(Q$10&gt;TODAY(),$W$7&gt;0,Q52&lt;=0),0,
IF(AND(Q$10&gt;TODAY(),$W$7&lt;=0,Q53&lt;=0),0,
IF(Q85&lt;=0,1,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f>
        <v>1</v>
      </c>
      <c r="R66" s="354">
        <f ca="1">IF(EB.Anwendung&lt;&gt;"",
IF(AND(R$10&gt;TODAY(),$W$7&gt;0,R52&lt;=0),0,
IF(AND(R$10&gt;TODAY(),$W$7&lt;=0,R53&lt;=0),0,
IF(R85&lt;=0,1,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f>
        <v>1</v>
      </c>
      <c r="S66" s="431">
        <f ca="1">IF(EB.Anwendung&lt;&gt;"",
IF(AND(S$10&gt;TODAY(),$W$7&gt;0,S52&lt;=0),0,
IF(AND(S$10&gt;TODAY(),$W$7&lt;=0,S53&lt;=0),0,
IF(S85&lt;=0,1,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f>
        <v>1</v>
      </c>
      <c r="T66" s="354">
        <f ca="1">IF(EB.Anwendung&lt;&gt;"",
IF(AND(T$10&gt;TODAY(),$W$7&gt;0,T52&lt;=0),0,
IF(AND(T$10&gt;TODAY(),$W$7&lt;=0,T53&lt;=0),0,
IF(T85&lt;=0,1,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f>
        <v>0</v>
      </c>
      <c r="U66" s="354">
        <f ca="1">IF(EB.Anwendung&lt;&gt;"",
IF(AND(U$10&gt;TODAY(),$W$7&gt;0,U52&lt;=0),0,
IF(AND(U$10&gt;TODAY(),$W$7&lt;=0,U53&lt;=0),0,
IF(U85&lt;=0,1,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f>
        <v>0</v>
      </c>
      <c r="V66" s="354">
        <f ca="1">IF(EB.Anwendung&lt;&gt;"",
IF(AND(V$10&gt;TODAY(),$W$7&gt;0,V52&lt;=0),0,
IF(AND(V$10&gt;TODAY(),$W$7&lt;=0,V53&lt;=0),0,
IF(V85&lt;=0,1,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f>
        <v>1</v>
      </c>
      <c r="W66" s="354">
        <f ca="1">IF(EB.Anwendung&lt;&gt;"",
IF(AND(W$10&gt;TODAY(),$W$7&gt;0,W52&lt;=0),0,
IF(AND(W$10&gt;TODAY(),$W$7&lt;=0,W53&lt;=0),0,
IF(W85&lt;=0,1,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f>
        <v>1</v>
      </c>
      <c r="X66" s="432">
        <f ca="1">IF(EB.Anwendung&lt;&gt;"",
IF(AND(X$10&gt;TODAY(),$W$7&gt;0,X52&lt;=0),0,
IF(AND(X$10&gt;TODAY(),$W$7&lt;=0,X53&lt;=0),0,
IF(X85&lt;=0,1,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f>
        <v>1</v>
      </c>
      <c r="Y66" s="354">
        <f ca="1">IF(EB.Anwendung&lt;&gt;"",
IF(AND(Y$10&gt;TODAY(),$W$7&gt;0,Y52&lt;=0),0,
IF(AND(Y$10&gt;TODAY(),$W$7&lt;=0,Y53&lt;=0),0,
IF(Y85&lt;=0,1,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f>
        <v>1</v>
      </c>
      <c r="Z66" s="354">
        <f ca="1">IF(EB.Anwendung&lt;&gt;"",
IF(AND(Z$10&gt;TODAY(),$W$7&gt;0,Z52&lt;=0),0,
IF(AND(Z$10&gt;TODAY(),$W$7&lt;=0,Z53&lt;=0),0,
IF(Z85&lt;=0,1,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f>
        <v>0</v>
      </c>
      <c r="AA66" s="354">
        <f ca="1">IF(EB.Anwendung&lt;&gt;"",
IF(AND(AA$10&gt;TODAY(),$W$7&gt;0,AA52&lt;=0),0,
IF(AND(AA$10&gt;TODAY(),$W$7&lt;=0,AA53&lt;=0),0,
IF(AA85&lt;=0,1,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f>
        <v>0</v>
      </c>
      <c r="AB66" s="354">
        <f ca="1">IF(EB.Anwendung&lt;&gt;"",
IF(AND(AB$10&gt;TODAY(),$W$7&gt;0,AB52&lt;=0),0,
IF(AND(AB$10&gt;TODAY(),$W$7&lt;=0,AB53&lt;=0),0,
IF(AB85&lt;=0,1,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f>
        <v>0</v>
      </c>
      <c r="AC66" s="354">
        <f ca="1">IF(EB.Anwendung&lt;&gt;"",
IF(AND(AC$10&gt;TODAY(),$W$7&gt;0,AC52&lt;=0),0,
IF(AND(AC$10&gt;TODAY(),$W$7&lt;=0,AC53&lt;=0),0,
IF(AC85&lt;=0,1,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f>
        <v>1</v>
      </c>
      <c r="AD66" s="354">
        <f ca="1">IF(EB.Anwendung&lt;&gt;"",
IF(AND(AD$10&gt;TODAY(),$W$7&gt;0,AD52&lt;=0),0,
IF(AND(AD$10&gt;TODAY(),$W$7&lt;=0,AD53&lt;=0),0,
IF(AD85&lt;=0,1,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f>
        <v>1</v>
      </c>
      <c r="AE66" s="354">
        <f ca="1">IF(EB.Anwendung&lt;&gt;"",
IF(AND(AE$10&gt;TODAY(),$W$7&gt;0,AE52&lt;=0),0,
IF(AND(AE$10&gt;TODAY(),$W$7&lt;=0,AE53&lt;=0),0,
IF(AE85&lt;=0,1,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f>
        <v>1</v>
      </c>
      <c r="AF66" s="433">
        <f ca="1">IF(EB.Anwendung&lt;&gt;"",
IF(AND(AF$10&gt;TODAY(),$W$7&gt;0,AF52&lt;=0),0,
IF(AND(AF$10&gt;TODAY(),$W$7&lt;=0,AF53&lt;=0),0,
IF(AF85&lt;=0,1,
IF(DAY(AF$10)=1,IF(MONTH(Monat.Tag1)=1,1,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E68)))),"")</f>
        <v>1</v>
      </c>
      <c r="AG66" s="212"/>
      <c r="AH66" s="188"/>
      <c r="AI66" s="213"/>
      <c r="AJ66" s="214"/>
      <c r="AK66" s="209"/>
      <c r="AL66" s="209"/>
      <c r="AM66" s="209"/>
      <c r="AN66" s="208"/>
      <c r="AO66" s="209"/>
      <c r="AP66" s="209"/>
      <c r="AQ66" s="119"/>
    </row>
    <row r="67" spans="1:43" s="38" customFormat="1" ht="15" customHeight="1" outlineLevel="1" x14ac:dyDescent="0.2">
      <c r="A67" s="212" t="s">
        <v>79</v>
      </c>
      <c r="B67" s="27"/>
      <c r="C67" s="27"/>
      <c r="D67" s="27"/>
      <c r="E67" s="27"/>
      <c r="F67" s="27"/>
      <c r="G67" s="27"/>
      <c r="H67" s="27"/>
      <c r="I67" s="27"/>
      <c r="J67" s="27"/>
      <c r="K67" s="27"/>
      <c r="L67" s="27"/>
      <c r="M67" s="27"/>
      <c r="N67" s="27"/>
      <c r="O67" s="27"/>
      <c r="P67" s="27"/>
      <c r="Q67" s="27"/>
      <c r="R67" s="27"/>
      <c r="S67" s="27"/>
      <c r="T67" s="27"/>
      <c r="U67" s="27"/>
      <c r="V67" s="27"/>
      <c r="W67" s="27"/>
      <c r="X67" s="27"/>
      <c r="Y67" s="27"/>
      <c r="Z67" s="39"/>
      <c r="AA67" s="27"/>
      <c r="AB67" s="27"/>
      <c r="AC67" s="27"/>
      <c r="AD67" s="27"/>
      <c r="AE67" s="27"/>
      <c r="AF67" s="27"/>
      <c r="AG67" s="205" t="str">
        <f ca="1">A67 &amp; IFERROR(IF(SUMPRODUCT((B66:AF66=0)*(B67:AF67&gt;0))&gt;0," (!)",""),"")</f>
        <v>Compensation working hours</v>
      </c>
      <c r="AH67" s="218"/>
      <c r="AI67" s="238">
        <f>SUM(B67:AF67)</f>
        <v>0</v>
      </c>
      <c r="AJ67" s="261"/>
      <c r="AK67" s="245">
        <f ca="1">OFFSET(EB.MKAStd.Knoten,MONTH(Monat.Tag1),0,1,1)</f>
        <v>0.4375</v>
      </c>
      <c r="AL67" s="272">
        <f ca="1">IF(EB.Anwendung&lt;&gt;"",IF(MONTH(Monat.Tag1)=1,0,IF(MONTH(Monat.Tag1)=2,January!Monat.KomUeVM,IF(MONTH(Monat.Tag1)=3,February!Monat.KomUeVM,IF(MONTH(Monat.Tag1)=4,March!Monat.KomUeVM,IF(MONTH(Monat.Tag1)=5,April!Monat.KomUeVM,IF(MONTH(Monat.Tag1)=6,May!Monat.KomUeVM,IF(MONTH(Monat.Tag1)=7,June!Monat.KomUeVM,IF(MONTH(Monat.Tag1)=8,July!Monat.KomUeVM,IF(MONTH(Monat.Tag1)=9,August!Monat.KomUeVM,IF(MONTH(Monat.Tag1)=10,September!Monat.KomUeVM,IF(MONTH(Monat.Tag1)=11,October!Monat.KomUeVM,IF(MONTH(Monat.Tag1)=12,November!Monat.KomUeVM,"")))))))))))),"")</f>
        <v>4.8125</v>
      </c>
      <c r="AM67" s="209"/>
      <c r="AN67" s="246">
        <f ca="1">AK67+AL67-Monat.KomAZ.Total</f>
        <v>5.25</v>
      </c>
      <c r="AO67" s="246">
        <f ca="1">Jahresabrechnung!P12-SUM(OFFSET(Jahresabrechnung!P15,0,0,MONTH(Monat.Tag1),1))</f>
        <v>5.25</v>
      </c>
      <c r="AP67" s="246">
        <f ca="1">Jahresabrechnung!P28</f>
        <v>5.25</v>
      </c>
      <c r="AQ67" s="119"/>
    </row>
    <row r="68" spans="1:43" s="38" customFormat="1" ht="11.25" customHeight="1" x14ac:dyDescent="0.2">
      <c r="A68" s="220"/>
      <c r="B68" s="434">
        <f ca="1">IF(EB.Anwendung&lt;&gt;"",
IF(B67&gt;0,0,
IF(SUM(B23,B45)&gt;0,1,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
)),"")</f>
        <v>1</v>
      </c>
      <c r="C68" s="434">
        <f ca="1">IF(EB.Anwendung&lt;&gt;"",
IF(C67&gt;0,0,
IF(SUM(C23,C45)&gt;0,1,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
)),"")</f>
        <v>1</v>
      </c>
      <c r="D68" s="434">
        <f ca="1">IF(EB.Anwendung&lt;&gt;"",
IF(D67&gt;0,0,
IF(SUM(D23,D45)&gt;0,1,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
)),"")</f>
        <v>1</v>
      </c>
      <c r="E68" s="434">
        <f ca="1">IF(EB.Anwendung&lt;&gt;"",
IF(E67&gt;0,0,
IF(SUM(E23,E45)&gt;0,1,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
)),"")</f>
        <v>1</v>
      </c>
      <c r="F68" s="434">
        <f ca="1">IF(EB.Anwendung&lt;&gt;"",
IF(F67&gt;0,0,
IF(SUM(F23,F45)&gt;0,1,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
)),"")</f>
        <v>1</v>
      </c>
      <c r="G68" s="434">
        <f ca="1">IF(EB.Anwendung&lt;&gt;"",
IF(G67&gt;0,0,
IF(SUM(G23,G45)&gt;0,1,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
)),"")</f>
        <v>1</v>
      </c>
      <c r="H68" s="434">
        <f ca="1">IF(EB.Anwendung&lt;&gt;"",
IF(H67&gt;0,0,
IF(SUM(H23,H45)&gt;0,1,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
)),"")</f>
        <v>1</v>
      </c>
      <c r="I68" s="434">
        <f ca="1">IF(EB.Anwendung&lt;&gt;"",
IF(I67&gt;0,0,
IF(SUM(I23,I45)&gt;0,1,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
)),"")</f>
        <v>1</v>
      </c>
      <c r="J68" s="434">
        <f ca="1">IF(EB.Anwendung&lt;&gt;"",
IF(J67&gt;0,0,
IF(SUM(J23,J45)&gt;0,1,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
)),"")</f>
        <v>1</v>
      </c>
      <c r="K68" s="434">
        <f ca="1">IF(EB.Anwendung&lt;&gt;"",
IF(K67&gt;0,0,
IF(SUM(K23,K45)&gt;0,1,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
)),"")</f>
        <v>1</v>
      </c>
      <c r="L68" s="434">
        <f ca="1">IF(EB.Anwendung&lt;&gt;"",
IF(L67&gt;0,0,
IF(SUM(L23,L45)&gt;0,1,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
)),"")</f>
        <v>1</v>
      </c>
      <c r="M68" s="434">
        <f ca="1">IF(EB.Anwendung&lt;&gt;"",
IF(M67&gt;0,0,
IF(SUM(M23,M45)&gt;0,1,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
)),"")</f>
        <v>1</v>
      </c>
      <c r="N68" s="434">
        <f ca="1">IF(EB.Anwendung&lt;&gt;"",
IF(N67&gt;0,0,
IF(SUM(N23,N45)&gt;0,1,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
)),"")</f>
        <v>1</v>
      </c>
      <c r="O68" s="434">
        <f ca="1">IF(EB.Anwendung&lt;&gt;"",
IF(O67&gt;0,0,
IF(SUM(O23,O45)&gt;0,1,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
)),"")</f>
        <v>1</v>
      </c>
      <c r="P68" s="434">
        <f ca="1">IF(EB.Anwendung&lt;&gt;"",
IF(P67&gt;0,0,
IF(SUM(P23,P45)&gt;0,1,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
)),"")</f>
        <v>1</v>
      </c>
      <c r="Q68" s="434">
        <f ca="1">IF(EB.Anwendung&lt;&gt;"",
IF(Q67&gt;0,0,
IF(SUM(Q23,Q45)&gt;0,1,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
)),"")</f>
        <v>1</v>
      </c>
      <c r="R68" s="434">
        <f ca="1">IF(EB.Anwendung&lt;&gt;"",
IF(R67&gt;0,0,
IF(SUM(R23,R45)&gt;0,1,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
)),"")</f>
        <v>1</v>
      </c>
      <c r="S68" s="434">
        <f ca="1">IF(EB.Anwendung&lt;&gt;"",
IF(S67&gt;0,0,
IF(SUM(S23,S45)&gt;0,1,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
)),"")</f>
        <v>1</v>
      </c>
      <c r="T68" s="434">
        <f ca="1">IF(EB.Anwendung&lt;&gt;"",
IF(T67&gt;0,0,
IF(SUM(T23,T45)&gt;0,1,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
)),"")</f>
        <v>1</v>
      </c>
      <c r="U68" s="434">
        <f ca="1">IF(EB.Anwendung&lt;&gt;"",
IF(U67&gt;0,0,
IF(SUM(U23,U45)&gt;0,1,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
)),"")</f>
        <v>1</v>
      </c>
      <c r="V68" s="434">
        <f ca="1">IF(EB.Anwendung&lt;&gt;"",
IF(V67&gt;0,0,
IF(SUM(V23,V45)&gt;0,1,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
)),"")</f>
        <v>1</v>
      </c>
      <c r="W68" s="434">
        <f ca="1">IF(EB.Anwendung&lt;&gt;"",
IF(W67&gt;0,0,
IF(SUM(W23,W45)&gt;0,1,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
)),"")</f>
        <v>1</v>
      </c>
      <c r="X68" s="434">
        <f ca="1">IF(EB.Anwendung&lt;&gt;"",
IF(X67&gt;0,0,
IF(SUM(X23,X45)&gt;0,1,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
)),"")</f>
        <v>1</v>
      </c>
      <c r="Y68" s="434">
        <f ca="1">IF(EB.Anwendung&lt;&gt;"",
IF(Y67&gt;0,0,
IF(SUM(Y23,Y45)&gt;0,1,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
)),"")</f>
        <v>1</v>
      </c>
      <c r="Z68" s="434">
        <f ca="1">IF(EB.Anwendung&lt;&gt;"",
IF(Z67&gt;0,0,
IF(SUM(Z23,Z45)&gt;0,1,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
)),"")</f>
        <v>1</v>
      </c>
      <c r="AA68" s="434">
        <f ca="1">IF(EB.Anwendung&lt;&gt;"",
IF(AA67&gt;0,0,
IF(SUM(AA23,AA45)&gt;0,1,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
)),"")</f>
        <v>1</v>
      </c>
      <c r="AB68" s="434">
        <f ca="1">IF(EB.Anwendung&lt;&gt;"",
IF(AB67&gt;0,0,
IF(SUM(AB23,AB45)&gt;0,1,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
)),"")</f>
        <v>1</v>
      </c>
      <c r="AC68" s="434">
        <f ca="1">IF(EB.Anwendung&lt;&gt;"",
IF(AC67&gt;0,0,
IF(SUM(AC23,AC45)&gt;0,1,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
)),"")</f>
        <v>1</v>
      </c>
      <c r="AD68" s="434">
        <f ca="1">IF(EB.Anwendung&lt;&gt;"",
IF(AD67&gt;0,0,
IF(SUM(AD23,AD45)&gt;0,1,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
)),"")</f>
        <v>1</v>
      </c>
      <c r="AE68" s="434">
        <f ca="1">IF(EB.Anwendung&lt;&gt;"",
IF(AE67&gt;0,0,
IF(SUM(AE23,AE45)&gt;0,1,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
)),"")</f>
        <v>1</v>
      </c>
      <c r="AF68" s="435">
        <f ca="1">IF(EB.Anwendung&lt;&gt;"",
IF(AF67&gt;0,0,
IF(SUM(AF23,AF45)&gt;0,1,
IF(DAY(AF$10)=1,IF(MONTH(Monat.Tag1)=1,1,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E68)
)),"")</f>
        <v>1</v>
      </c>
      <c r="AG68" s="205"/>
      <c r="AH68" s="188"/>
      <c r="AI68" s="213"/>
      <c r="AJ68" s="214"/>
      <c r="AK68" s="209"/>
      <c r="AL68" s="209"/>
      <c r="AM68" s="209"/>
      <c r="AN68" s="436">
        <f ca="1">IF(OFFSET(A68,0,DAY(EOMONTH(Monat.Tag1,0)))=0,0,1)</f>
        <v>1</v>
      </c>
      <c r="AO68" s="209"/>
      <c r="AP68" s="209"/>
      <c r="AQ68" s="119"/>
    </row>
    <row r="69" spans="1:43" s="38" customFormat="1" ht="15" hidden="1" customHeight="1" x14ac:dyDescent="0.2">
      <c r="A69" s="212" t="s">
        <v>220</v>
      </c>
      <c r="B69" s="273">
        <f t="shared" ref="B69:AF69" ca="1" si="18">IF(AND(T.50_Vetsuisse,B72=INDEX(T.JaNein.Bereich,1,1),B73&gt;0,MOD(IFERROR(MATCH(1,B13:B22,0),1),2)=0),1,
IF(AND(T.ServiceCenterIrchel,B72=INDEX(T.JaNein.Bereich,1,1),B77&gt;0),1,
IF(AND(T.50_Vetsuisse=FALSE,T.ServiceCenterIrchel=FALSE,B77&gt;0),1,0)))</f>
        <v>0</v>
      </c>
      <c r="C69" s="273">
        <f t="shared" ca="1" si="18"/>
        <v>0</v>
      </c>
      <c r="D69" s="273">
        <f t="shared" ca="1" si="18"/>
        <v>0</v>
      </c>
      <c r="E69" s="273">
        <f t="shared" ca="1" si="18"/>
        <v>0</v>
      </c>
      <c r="F69" s="273">
        <f t="shared" ca="1" si="18"/>
        <v>0</v>
      </c>
      <c r="G69" s="273">
        <f t="shared" ca="1" si="18"/>
        <v>0</v>
      </c>
      <c r="H69" s="273">
        <f t="shared" ca="1" si="18"/>
        <v>0</v>
      </c>
      <c r="I69" s="273">
        <f t="shared" ca="1" si="18"/>
        <v>0</v>
      </c>
      <c r="J69" s="273">
        <f t="shared" ca="1" si="18"/>
        <v>0</v>
      </c>
      <c r="K69" s="273">
        <f t="shared" ca="1" si="18"/>
        <v>0</v>
      </c>
      <c r="L69" s="273">
        <f t="shared" ca="1" si="18"/>
        <v>0</v>
      </c>
      <c r="M69" s="273">
        <f t="shared" ca="1" si="18"/>
        <v>0</v>
      </c>
      <c r="N69" s="273">
        <f t="shared" ca="1" si="18"/>
        <v>0</v>
      </c>
      <c r="O69" s="273">
        <f t="shared" ca="1" si="18"/>
        <v>0</v>
      </c>
      <c r="P69" s="273">
        <f t="shared" ca="1" si="18"/>
        <v>0</v>
      </c>
      <c r="Q69" s="273">
        <f t="shared" ca="1" si="18"/>
        <v>0</v>
      </c>
      <c r="R69" s="273">
        <f t="shared" ca="1" si="18"/>
        <v>0</v>
      </c>
      <c r="S69" s="273">
        <f t="shared" ca="1" si="18"/>
        <v>0</v>
      </c>
      <c r="T69" s="273">
        <f t="shared" ca="1" si="18"/>
        <v>0</v>
      </c>
      <c r="U69" s="273">
        <f t="shared" ca="1" si="18"/>
        <v>0</v>
      </c>
      <c r="V69" s="273">
        <f t="shared" ca="1" si="18"/>
        <v>0</v>
      </c>
      <c r="W69" s="273">
        <f t="shared" ca="1" si="18"/>
        <v>0</v>
      </c>
      <c r="X69" s="273">
        <f t="shared" ca="1" si="18"/>
        <v>0</v>
      </c>
      <c r="Y69" s="273">
        <f t="shared" ca="1" si="18"/>
        <v>0</v>
      </c>
      <c r="Z69" s="273">
        <f t="shared" ca="1" si="18"/>
        <v>0</v>
      </c>
      <c r="AA69" s="273">
        <f t="shared" ca="1" si="18"/>
        <v>0</v>
      </c>
      <c r="AB69" s="273">
        <f t="shared" ca="1" si="18"/>
        <v>0</v>
      </c>
      <c r="AC69" s="273">
        <f t="shared" ca="1" si="18"/>
        <v>0</v>
      </c>
      <c r="AD69" s="273">
        <f t="shared" ca="1" si="18"/>
        <v>0</v>
      </c>
      <c r="AE69" s="273">
        <f t="shared" ca="1" si="18"/>
        <v>0</v>
      </c>
      <c r="AF69" s="273">
        <f t="shared" ca="1" si="18"/>
        <v>0</v>
      </c>
      <c r="AG69" s="205" t="str">
        <f>A69</f>
        <v>Counter night shift</v>
      </c>
      <c r="AH69" s="274"/>
      <c r="AI69" s="275">
        <f ca="1">SUM(B69:AF69)</f>
        <v>0</v>
      </c>
      <c r="AJ69" s="261"/>
      <c r="AK69" s="224"/>
      <c r="AL69" s="276">
        <f ca="1">IF(EB.Anwendung&lt;&gt;"",IF(MONTH(Monat.Tag1)=1,0,IF(MONTH(Monat.Tag1)=2,January!Monat.ZählerNDUe,IF(MONTH(Monat.Tag1)=3,February!Monat.ZählerNDUe,IF(MONTH(Monat.Tag1)=4,March!Monat.ZählerNDUe,IF(MONTH(Monat.Tag1)=5,April!Monat.ZählerNDUe,IF(MONTH(Monat.Tag1)=6,May!Monat.ZählerNDUe,IF(MONTH(Monat.Tag1)=7,June!Monat.ZählerNDUe,IF(MONTH(Monat.Tag1)=8,July!Monat.ZählerNDUe,IF(MONTH(Monat.Tag1)=9,August!Monat.ZählerNDUe,IF(MONTH(Monat.Tag1)=10,September!Monat.ZählerNDUe,IF(MONTH(Monat.Tag1)=11,October!Monat.ZählerNDUe,IF(MONTH(Monat.Tag1)=12,November!Monat.ZählerNDUe,"")))))))))))),"")</f>
        <v>0</v>
      </c>
      <c r="AM69" s="209"/>
      <c r="AN69" s="277">
        <f ca="1">AL69+AI69</f>
        <v>0</v>
      </c>
      <c r="AO69" s="208"/>
      <c r="AP69" s="208"/>
      <c r="AQ69" s="119"/>
    </row>
    <row r="70" spans="1:43" s="38" customFormat="1" ht="15" hidden="1" customHeight="1" x14ac:dyDescent="0.2">
      <c r="A70" s="212" t="s">
        <v>221</v>
      </c>
      <c r="B70" s="273">
        <f t="shared" ref="B70:AF70" ca="1" si="19">IF(DAY(B$10)=1,$AL$69,A70)+B69</f>
        <v>0</v>
      </c>
      <c r="C70" s="273">
        <f t="shared" ca="1" si="19"/>
        <v>0</v>
      </c>
      <c r="D70" s="273">
        <f t="shared" ca="1" si="19"/>
        <v>0</v>
      </c>
      <c r="E70" s="273">
        <f t="shared" ca="1" si="19"/>
        <v>0</v>
      </c>
      <c r="F70" s="273">
        <f t="shared" ca="1" si="19"/>
        <v>0</v>
      </c>
      <c r="G70" s="273">
        <f t="shared" ca="1" si="19"/>
        <v>0</v>
      </c>
      <c r="H70" s="273">
        <f t="shared" ca="1" si="19"/>
        <v>0</v>
      </c>
      <c r="I70" s="273">
        <f t="shared" ca="1" si="19"/>
        <v>0</v>
      </c>
      <c r="J70" s="273">
        <f t="shared" ca="1" si="19"/>
        <v>0</v>
      </c>
      <c r="K70" s="273">
        <f t="shared" ca="1" si="19"/>
        <v>0</v>
      </c>
      <c r="L70" s="273">
        <f t="shared" ca="1" si="19"/>
        <v>0</v>
      </c>
      <c r="M70" s="273">
        <f t="shared" ca="1" si="19"/>
        <v>0</v>
      </c>
      <c r="N70" s="273">
        <f t="shared" ca="1" si="19"/>
        <v>0</v>
      </c>
      <c r="O70" s="273">
        <f t="shared" ca="1" si="19"/>
        <v>0</v>
      </c>
      <c r="P70" s="273">
        <f t="shared" ca="1" si="19"/>
        <v>0</v>
      </c>
      <c r="Q70" s="273">
        <f t="shared" ca="1" si="19"/>
        <v>0</v>
      </c>
      <c r="R70" s="273">
        <f t="shared" ca="1" si="19"/>
        <v>0</v>
      </c>
      <c r="S70" s="273">
        <f t="shared" ca="1" si="19"/>
        <v>0</v>
      </c>
      <c r="T70" s="273">
        <f t="shared" ca="1" si="19"/>
        <v>0</v>
      </c>
      <c r="U70" s="273">
        <f t="shared" ca="1" si="19"/>
        <v>0</v>
      </c>
      <c r="V70" s="273">
        <f t="shared" ca="1" si="19"/>
        <v>0</v>
      </c>
      <c r="W70" s="273">
        <f t="shared" ca="1" si="19"/>
        <v>0</v>
      </c>
      <c r="X70" s="273">
        <f t="shared" ca="1" si="19"/>
        <v>0</v>
      </c>
      <c r="Y70" s="273">
        <f t="shared" ca="1" si="19"/>
        <v>0</v>
      </c>
      <c r="Z70" s="273">
        <f t="shared" ca="1" si="19"/>
        <v>0</v>
      </c>
      <c r="AA70" s="273">
        <f t="shared" ca="1" si="19"/>
        <v>0</v>
      </c>
      <c r="AB70" s="273">
        <f t="shared" ca="1" si="19"/>
        <v>0</v>
      </c>
      <c r="AC70" s="273">
        <f t="shared" ca="1" si="19"/>
        <v>0</v>
      </c>
      <c r="AD70" s="273">
        <f t="shared" ca="1" si="19"/>
        <v>0</v>
      </c>
      <c r="AE70" s="273">
        <f t="shared" ca="1" si="19"/>
        <v>0</v>
      </c>
      <c r="AF70" s="273">
        <f t="shared" ca="1" si="19"/>
        <v>0</v>
      </c>
      <c r="AG70" s="205" t="str">
        <f t="shared" ref="AG70:AG82" si="20">A70</f>
        <v>Balance counter night shift</v>
      </c>
      <c r="AH70" s="228"/>
      <c r="AI70" s="224"/>
      <c r="AJ70" s="278"/>
      <c r="AK70" s="262"/>
      <c r="AL70" s="262"/>
      <c r="AM70" s="209"/>
      <c r="AN70" s="279"/>
      <c r="AO70" s="208"/>
      <c r="AP70" s="208"/>
      <c r="AQ70" s="119"/>
    </row>
    <row r="71" spans="1:43" s="38" customFormat="1" ht="15" hidden="1" customHeight="1" outlineLevel="1" x14ac:dyDescent="0.2">
      <c r="A71" s="212" t="s">
        <v>222</v>
      </c>
      <c r="B71" s="40"/>
      <c r="C71" s="40"/>
      <c r="D71" s="40"/>
      <c r="E71" s="27"/>
      <c r="F71" s="40"/>
      <c r="G71" s="40"/>
      <c r="H71" s="40"/>
      <c r="I71" s="40"/>
      <c r="J71" s="27"/>
      <c r="K71" s="40"/>
      <c r="L71" s="27"/>
      <c r="M71" s="40"/>
      <c r="N71" s="40"/>
      <c r="O71" s="40"/>
      <c r="P71" s="40"/>
      <c r="Q71" s="27"/>
      <c r="R71" s="40"/>
      <c r="S71" s="27"/>
      <c r="T71" s="27"/>
      <c r="U71" s="40"/>
      <c r="V71" s="40"/>
      <c r="W71" s="40"/>
      <c r="X71" s="27"/>
      <c r="Y71" s="40"/>
      <c r="Z71" s="39"/>
      <c r="AA71" s="40"/>
      <c r="AB71" s="40"/>
      <c r="AC71" s="40"/>
      <c r="AD71" s="40"/>
      <c r="AE71" s="27"/>
      <c r="AF71" s="40"/>
      <c r="AG71" s="205" t="str">
        <f t="shared" si="20"/>
        <v>Compensation TS night shift</v>
      </c>
      <c r="AH71" s="218"/>
      <c r="AI71" s="238">
        <f t="shared" ref="AI71" si="21">SUM(B71:AF71)</f>
        <v>0</v>
      </c>
      <c r="AJ71" s="261"/>
      <c r="AK71" s="262"/>
      <c r="AL71" s="245">
        <f ca="1">IF(EB.Anwendung&lt;&gt;"",IF(MONTH(Monat.Tag1)=1,0,IF(MONTH(Monat.Tag1)=2,January!Monat.KompZZSNDUeVM,IF(MONTH(Monat.Tag1)=3,February!Monat.KompZZSNDUeVM,IF(MONTH(Monat.Tag1)=4,March!Monat.KompZZSNDUeVM,IF(MONTH(Monat.Tag1)=5,April!Monat.KompZZSNDUeVM,IF(MONTH(Monat.Tag1)=6,May!Monat.KompZZSNDUeVM,IF(MONTH(Monat.Tag1)=7,June!Monat.KompZZSNDUeVM,IF(MONTH(Monat.Tag1)=8,July!Monat.KompZZSNDUeVM,IF(MONTH(Monat.Tag1)=9,August!Monat.KompZZSNDUeVM,IF(MONTH(Monat.Tag1)=10,September!Monat.KompZZSNDUeVM,IF(MONTH(Monat.Tag1)=11,October!Monat.KompZZSNDUeVM,IF(MONTH(Monat.Tag1)=12,November!Monat.KompZZSNDUeVM,"")))))))))))),"")</f>
        <v>0</v>
      </c>
      <c r="AM71" s="209"/>
      <c r="AN71" s="246">
        <f ca="1">AI71+AL71</f>
        <v>0</v>
      </c>
      <c r="AO71" s="246">
        <f ca="1">SUM(OFFSET(Jahr.KompZZSND,-12,0,MONTH(Monat.Tag1),1))</f>
        <v>0</v>
      </c>
      <c r="AP71" s="246">
        <f ca="1">Jahr.KompZZSND</f>
        <v>0</v>
      </c>
      <c r="AQ71" s="119"/>
    </row>
    <row r="72" spans="1:43" s="38" customFormat="1" ht="15" hidden="1" customHeight="1" outlineLevel="1" x14ac:dyDescent="0.2">
      <c r="A72" s="212" t="s">
        <v>223</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205" t="str">
        <f t="shared" si="20"/>
        <v>Start pl. night shift Yes/No</v>
      </c>
      <c r="AH72" s="218"/>
      <c r="AI72" s="224"/>
      <c r="AJ72" s="229">
        <f ca="1">IFERROR(SUMPRODUCT((B72:AF72=INDEX(T.JaNein.Bereich,1))*(B72:AF72&lt;&gt;"")),0)</f>
        <v>0</v>
      </c>
      <c r="AK72" s="262"/>
      <c r="AL72" s="229">
        <f ca="1">AL69</f>
        <v>0</v>
      </c>
      <c r="AM72" s="209"/>
      <c r="AN72" s="277">
        <f ca="1">AN69</f>
        <v>0</v>
      </c>
      <c r="AO72" s="209"/>
      <c r="AP72" s="209"/>
      <c r="AQ72" s="119"/>
    </row>
    <row r="73" spans="1:43" s="38" customFormat="1" ht="15" customHeight="1" outlineLevel="1" x14ac:dyDescent="0.2">
      <c r="A73" s="212" t="s">
        <v>88</v>
      </c>
      <c r="B73" s="280">
        <f t="shared" ref="B73:AF73" ca="1" si="22">IF(B$12=0,0,IF(OR(T.50_Vetsuisse,T.ServiceCenterIrchel),ROUND((B14-B13+MAX(0,T.Nachtab-MAX(T.Nachtbis,B14))-MAX(0,T.Nachtab-MAX(B13,T.Nachtbis))+(B13&gt;B14)*(1+T.Nachtbis-T.Nachtab)+B16-B15+MAX(0,T.Nachtab-MAX(T.Nachtbis,B16))-MAX(0,T.Nachtab-MAX(B15,T.Nachtbis))+(B15&gt;B16)*(1+T.Nachtbis-T.Nachtab)+B18-B17+MAX(0,T.Nachtab-MAX(T.Nachtbis,B18))-MAX(0,T.Nachtab-MAX(B17,T.Nachtbis))+(B17&gt;B18)*(1+T.Nachtbis-T.Nachtab)+B20-B19+MAX(0,T.Nachtab-MAX(T.Nachtbis,B20))-MAX(0,T.Nachtab-MAX(B19,T.Nachtbis))+(B19&gt;B20)*(1+T.Nachtbis-T.Nachtab)+B22-B21+MAX(0,T.Nachtab-MAX(T.Nachtbis,B22))-MAX(0,T.Nachtab-MAX(B21,T.Nachtbis))+(B21&gt;B22)*(1+T.Nachtbis-T.Nachtab))*1440,0)/1440,
IF(AND(WEEKDAY(B$10,2)&lt;6,B$11&lt;&gt;0),ROUND((B36-B35+MAX(0,T.Nachtab-MAX(T.Nachtbis,B36))-MAX(0,T.Nachtab-MAX(B35,T.Nachtbis))+(B35&gt;B36)*(1+T.Nachtbis-T.Nachtab)+B38-B37+MAX(0,T.Nachtab-MAX(T.Nachtbis,B38))-MAX(0,T.Nachtab-MAX(B37,T.Nachtbis))+(B37&gt;B38)*(1+T.Nachtbis-T.Nachtab)+B40-B39+MAX(0,T.Nachtab-MAX(T.Nachtbis,B40))-MAX(0,T.Nachtab-MAX(B39,T.Nachtbis))+(B39&gt;B40)*(1+T.Nachtbis-T.Nachtab)+B42-B41+MAX(0,T.Nachtab-MAX(T.Nachtbis,B42))-MAX(0,T.Nachtab-MAX(B41,T.Nachtbis))+(B41&gt;B42)*(1+T.Nachtbis-T.Nachtab)+B44-B43+MAX(0,T.Nachtab-MAX(T.Nachtbis,B44))-MAX(0,T.Nachtab-MAX(B43,T.Nachtbis))+(B43&gt;B44)*(1+T.Nachtbis-T.Nachtab))*1440,0)/1440,0)))</f>
        <v>0</v>
      </c>
      <c r="C73" s="280">
        <f t="shared" ca="1" si="22"/>
        <v>0</v>
      </c>
      <c r="D73" s="280">
        <f t="shared" ca="1" si="22"/>
        <v>0</v>
      </c>
      <c r="E73" s="280">
        <f t="shared" ca="1" si="22"/>
        <v>0</v>
      </c>
      <c r="F73" s="280">
        <f t="shared" ca="1" si="22"/>
        <v>0</v>
      </c>
      <c r="G73" s="280">
        <f t="shared" ca="1" si="22"/>
        <v>0</v>
      </c>
      <c r="H73" s="280">
        <f t="shared" ca="1" si="22"/>
        <v>0</v>
      </c>
      <c r="I73" s="280">
        <f t="shared" ca="1" si="22"/>
        <v>0</v>
      </c>
      <c r="J73" s="280">
        <f t="shared" ca="1" si="22"/>
        <v>0</v>
      </c>
      <c r="K73" s="280">
        <f t="shared" ca="1" si="22"/>
        <v>0</v>
      </c>
      <c r="L73" s="280">
        <f t="shared" ca="1" si="22"/>
        <v>0</v>
      </c>
      <c r="M73" s="280">
        <f t="shared" ca="1" si="22"/>
        <v>0</v>
      </c>
      <c r="N73" s="280">
        <f t="shared" ca="1" si="22"/>
        <v>0</v>
      </c>
      <c r="O73" s="280">
        <f t="shared" ca="1" si="22"/>
        <v>0</v>
      </c>
      <c r="P73" s="280">
        <f t="shared" ca="1" si="22"/>
        <v>0</v>
      </c>
      <c r="Q73" s="280">
        <f t="shared" ca="1" si="22"/>
        <v>0</v>
      </c>
      <c r="R73" s="280">
        <f t="shared" ca="1" si="22"/>
        <v>0</v>
      </c>
      <c r="S73" s="280">
        <f t="shared" ca="1" si="22"/>
        <v>0</v>
      </c>
      <c r="T73" s="280">
        <f t="shared" ca="1" si="22"/>
        <v>0</v>
      </c>
      <c r="U73" s="280">
        <f t="shared" ca="1" si="22"/>
        <v>0</v>
      </c>
      <c r="V73" s="280">
        <f t="shared" ca="1" si="22"/>
        <v>0</v>
      </c>
      <c r="W73" s="280">
        <f t="shared" ca="1" si="22"/>
        <v>0</v>
      </c>
      <c r="X73" s="280">
        <f t="shared" ca="1" si="22"/>
        <v>0</v>
      </c>
      <c r="Y73" s="280">
        <f t="shared" ca="1" si="22"/>
        <v>0</v>
      </c>
      <c r="Z73" s="280">
        <f t="shared" ca="1" si="22"/>
        <v>0</v>
      </c>
      <c r="AA73" s="280">
        <f t="shared" ca="1" si="22"/>
        <v>0</v>
      </c>
      <c r="AB73" s="280">
        <f t="shared" ca="1" si="22"/>
        <v>0</v>
      </c>
      <c r="AC73" s="280">
        <f t="shared" ca="1" si="22"/>
        <v>0</v>
      </c>
      <c r="AD73" s="280">
        <f t="shared" ca="1" si="22"/>
        <v>0</v>
      </c>
      <c r="AE73" s="280">
        <f t="shared" ca="1" si="22"/>
        <v>0</v>
      </c>
      <c r="AF73" s="280">
        <f t="shared" ca="1" si="22"/>
        <v>0</v>
      </c>
      <c r="AG73" s="205" t="str">
        <f t="shared" si="20"/>
        <v>Night shift</v>
      </c>
      <c r="AH73" s="228"/>
      <c r="AI73" s="238">
        <f ca="1">SUM(B73:AF73)</f>
        <v>0</v>
      </c>
      <c r="AJ73" s="229">
        <f ca="1">IF(OR(T.50_Vetsuisse,T.ServiceCenterIrchel),AI69,
IFERROR(SUMPRODUCT((B77:AF77&gt;0)*(B77:AF77&lt;&gt;"")),0))</f>
        <v>0</v>
      </c>
      <c r="AK73" s="224"/>
      <c r="AL73" s="245">
        <f ca="1">IF(EB.Anwendung&lt;&gt;"",IF(MONTH(Monat.Tag1)=1,0,IF(MONTH(Monat.Tag1)=2,January!Monat.NDUeVM,IF(MONTH(Monat.Tag1)=3,February!Monat.NDUeVM,IF(MONTH(Monat.Tag1)=4,March!Monat.NDUeVM,IF(MONTH(Monat.Tag1)=5,April!Monat.NDUeVM,IF(MONTH(Monat.Tag1)=6,May!Monat.NDUeVM,IF(MONTH(Monat.Tag1)=7,June!Monat.NDUeVM,IF(MONTH(Monat.Tag1)=8,July!Monat.NDUeVM,IF(MONTH(Monat.Tag1)=9,August!Monat.NDUeVM,IF(MONTH(Monat.Tag1)=10,September!Monat.NDUeVM,IF(MONTH(Monat.Tag1)=11,October!Monat.NDUeVM,IF(MONTH(Monat.Tag1)=12,November!Monat.NDUeVM,"")))))))))))),"")</f>
        <v>0</v>
      </c>
      <c r="AM73" s="209"/>
      <c r="AN73" s="246">
        <f ca="1">AI73+AL73</f>
        <v>0</v>
      </c>
      <c r="AO73" s="208"/>
      <c r="AP73" s="208"/>
      <c r="AQ73" s="119"/>
    </row>
    <row r="74" spans="1:43" s="38" customFormat="1" ht="3.75" hidden="1" customHeight="1" x14ac:dyDescent="0.2">
      <c r="A74" s="220"/>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213"/>
      <c r="AG74" s="205"/>
      <c r="AH74" s="188"/>
      <c r="AI74" s="213"/>
      <c r="AJ74" s="214"/>
      <c r="AK74" s="209"/>
      <c r="AL74" s="209"/>
      <c r="AM74" s="209"/>
      <c r="AN74" s="208"/>
      <c r="AO74" s="209"/>
      <c r="AP74" s="209"/>
      <c r="AQ74" s="119"/>
    </row>
    <row r="75" spans="1:43" s="38" customFormat="1" ht="16.5" hidden="1" customHeight="1" outlineLevel="1" x14ac:dyDescent="0.2">
      <c r="A75" s="215" t="s">
        <v>252</v>
      </c>
      <c r="B75" s="216">
        <f t="shared" ref="B75:AF75" ca="1" si="23">IF(B73&gt;0,ROUND((B73-
IF(B13&lt;T.Nachtbis,MIN(T.Nachtbis-B13,B14-B13)+IF(B15&lt;T.Nachtbis,MIN(T.Nachtbis-B15,B16-B15)+IF(B17&lt;T.Nachtbis,MIN(T.Nachtbis-B17,B18-B17)+IF(B19&lt;T.Nachtbis,MIN(T.Nachtbis-B19,B20-B19)+IF(B21&lt;T.Nachtbis,MIN(T.Nachtbis-B21,B22-B21),0),0),0),0),0))*1440,0)/1440,0)</f>
        <v>0</v>
      </c>
      <c r="C75" s="216">
        <f t="shared" ca="1" si="23"/>
        <v>0</v>
      </c>
      <c r="D75" s="216">
        <f t="shared" ca="1" si="23"/>
        <v>0</v>
      </c>
      <c r="E75" s="216">
        <f t="shared" ca="1" si="23"/>
        <v>0</v>
      </c>
      <c r="F75" s="216">
        <f t="shared" ca="1" si="23"/>
        <v>0</v>
      </c>
      <c r="G75" s="216">
        <f t="shared" ca="1" si="23"/>
        <v>0</v>
      </c>
      <c r="H75" s="216">
        <f t="shared" ca="1" si="23"/>
        <v>0</v>
      </c>
      <c r="I75" s="216">
        <f t="shared" ca="1" si="23"/>
        <v>0</v>
      </c>
      <c r="J75" s="216">
        <f t="shared" ca="1" si="23"/>
        <v>0</v>
      </c>
      <c r="K75" s="216">
        <f t="shared" ca="1" si="23"/>
        <v>0</v>
      </c>
      <c r="L75" s="216">
        <f t="shared" ca="1" si="23"/>
        <v>0</v>
      </c>
      <c r="M75" s="216">
        <f t="shared" ca="1" si="23"/>
        <v>0</v>
      </c>
      <c r="N75" s="216">
        <f t="shared" ca="1" si="23"/>
        <v>0</v>
      </c>
      <c r="O75" s="216">
        <f t="shared" ca="1" si="23"/>
        <v>0</v>
      </c>
      <c r="P75" s="216">
        <f t="shared" ca="1" si="23"/>
        <v>0</v>
      </c>
      <c r="Q75" s="216">
        <f t="shared" ca="1" si="23"/>
        <v>0</v>
      </c>
      <c r="R75" s="216">
        <f t="shared" ca="1" si="23"/>
        <v>0</v>
      </c>
      <c r="S75" s="216">
        <f t="shared" ca="1" si="23"/>
        <v>0</v>
      </c>
      <c r="T75" s="216">
        <f t="shared" ca="1" si="23"/>
        <v>0</v>
      </c>
      <c r="U75" s="216">
        <f t="shared" ca="1" si="23"/>
        <v>0</v>
      </c>
      <c r="V75" s="216">
        <f t="shared" ca="1" si="23"/>
        <v>0</v>
      </c>
      <c r="W75" s="216">
        <f t="shared" ca="1" si="23"/>
        <v>0</v>
      </c>
      <c r="X75" s="216">
        <f t="shared" ca="1" si="23"/>
        <v>0</v>
      </c>
      <c r="Y75" s="216">
        <f t="shared" ca="1" si="23"/>
        <v>0</v>
      </c>
      <c r="Z75" s="216">
        <f t="shared" ca="1" si="23"/>
        <v>0</v>
      </c>
      <c r="AA75" s="216">
        <f t="shared" ca="1" si="23"/>
        <v>0</v>
      </c>
      <c r="AB75" s="216">
        <f t="shared" ca="1" si="23"/>
        <v>0</v>
      </c>
      <c r="AC75" s="216">
        <f t="shared" ca="1" si="23"/>
        <v>0</v>
      </c>
      <c r="AD75" s="216">
        <f t="shared" ca="1" si="23"/>
        <v>0</v>
      </c>
      <c r="AE75" s="216">
        <f t="shared" ca="1" si="23"/>
        <v>0</v>
      </c>
      <c r="AF75" s="216">
        <f t="shared" ca="1" si="23"/>
        <v>0</v>
      </c>
      <c r="AG75" s="217" t="str">
        <f t="shared" ref="AG75:AG77" si="24">A75</f>
        <v>Total NS hours today</v>
      </c>
      <c r="AH75" s="188"/>
      <c r="AI75" s="213"/>
      <c r="AJ75" s="214"/>
      <c r="AK75" s="209"/>
      <c r="AL75" s="209"/>
      <c r="AM75" s="209"/>
      <c r="AN75" s="208"/>
      <c r="AO75" s="209"/>
      <c r="AP75" s="209"/>
      <c r="AQ75" s="119"/>
    </row>
    <row r="76" spans="1:43" s="38" customFormat="1" ht="16.5" hidden="1" customHeight="1" outlineLevel="1" x14ac:dyDescent="0.2">
      <c r="A76" s="215" t="s">
        <v>253</v>
      </c>
      <c r="B76" s="225">
        <f t="shared" ref="B76:AF76" ca="1" si="25">B73-B75</f>
        <v>0</v>
      </c>
      <c r="C76" s="225">
        <f t="shared" ca="1" si="25"/>
        <v>0</v>
      </c>
      <c r="D76" s="225">
        <f t="shared" ca="1" si="25"/>
        <v>0</v>
      </c>
      <c r="E76" s="225">
        <f t="shared" ca="1" si="25"/>
        <v>0</v>
      </c>
      <c r="F76" s="225">
        <f t="shared" ca="1" si="25"/>
        <v>0</v>
      </c>
      <c r="G76" s="225">
        <f t="shared" ca="1" si="25"/>
        <v>0</v>
      </c>
      <c r="H76" s="225">
        <f t="shared" ca="1" si="25"/>
        <v>0</v>
      </c>
      <c r="I76" s="225">
        <f t="shared" ca="1" si="25"/>
        <v>0</v>
      </c>
      <c r="J76" s="225">
        <f t="shared" ca="1" si="25"/>
        <v>0</v>
      </c>
      <c r="K76" s="225">
        <f t="shared" ca="1" si="25"/>
        <v>0</v>
      </c>
      <c r="L76" s="225">
        <f t="shared" ca="1" si="25"/>
        <v>0</v>
      </c>
      <c r="M76" s="225">
        <f t="shared" ca="1" si="25"/>
        <v>0</v>
      </c>
      <c r="N76" s="225">
        <f t="shared" ca="1" si="25"/>
        <v>0</v>
      </c>
      <c r="O76" s="225">
        <f t="shared" ca="1" si="25"/>
        <v>0</v>
      </c>
      <c r="P76" s="225">
        <f t="shared" ca="1" si="25"/>
        <v>0</v>
      </c>
      <c r="Q76" s="225">
        <f t="shared" ca="1" si="25"/>
        <v>0</v>
      </c>
      <c r="R76" s="225">
        <f t="shared" ca="1" si="25"/>
        <v>0</v>
      </c>
      <c r="S76" s="225">
        <f t="shared" ca="1" si="25"/>
        <v>0</v>
      </c>
      <c r="T76" s="225">
        <f t="shared" ca="1" si="25"/>
        <v>0</v>
      </c>
      <c r="U76" s="225">
        <f t="shared" ca="1" si="25"/>
        <v>0</v>
      </c>
      <c r="V76" s="225">
        <f t="shared" ca="1" si="25"/>
        <v>0</v>
      </c>
      <c r="W76" s="225">
        <f t="shared" ca="1" si="25"/>
        <v>0</v>
      </c>
      <c r="X76" s="225">
        <f t="shared" ca="1" si="25"/>
        <v>0</v>
      </c>
      <c r="Y76" s="225">
        <f t="shared" ca="1" si="25"/>
        <v>0</v>
      </c>
      <c r="Z76" s="225">
        <f t="shared" ca="1" si="25"/>
        <v>0</v>
      </c>
      <c r="AA76" s="225">
        <f t="shared" ca="1" si="25"/>
        <v>0</v>
      </c>
      <c r="AB76" s="225">
        <f t="shared" ca="1" si="25"/>
        <v>0</v>
      </c>
      <c r="AC76" s="225">
        <f t="shared" ca="1" si="25"/>
        <v>0</v>
      </c>
      <c r="AD76" s="225">
        <f t="shared" ca="1" si="25"/>
        <v>0</v>
      </c>
      <c r="AE76" s="225">
        <f t="shared" ca="1" si="25"/>
        <v>0</v>
      </c>
      <c r="AF76" s="225">
        <f t="shared" ca="1" si="25"/>
        <v>0</v>
      </c>
      <c r="AG76" s="217" t="str">
        <f t="shared" si="24"/>
        <v>Total NS hours yesterday</v>
      </c>
      <c r="AH76" s="188"/>
      <c r="AI76" s="213"/>
      <c r="AJ76" s="214"/>
      <c r="AK76" s="209"/>
      <c r="AL76" s="209"/>
      <c r="AM76" s="230">
        <f ca="1">IF(EB.Anwendung&lt;&gt;"",IF(MONTH(Monat.Tag1)=12,0,IF(MONTH(Monat.Tag1)=1,February!Monat.NDgesternTag1,IF(MONTH(Monat.Tag1)=2,March!Monat.NDgesternTag1,IF(MONTH(Monat.Tag1)=3,April!Monat.NDgesternTag1,IF(MONTH(Monat.Tag1)=4,May!Monat.NDgesternTag1,IF(MONTH(Monat.Tag1)=5,June!Monat.NDgesternTag1,IF(MONTH(Monat.Tag1)=6,July!Monat.NDgesternTag1,IF(MONTH(Monat.Tag1)=7,August!Monat.NDgesternTag1,IF(MONTH(Monat.Tag1)=8,September!Monat.NDgesternTag1,IF(MONTH(Monat.Tag1)=9,October!Monat.NDgesternTag1,IF(MONTH(Monat.Tag1)=10,November!Monat.NDgesternTag1,IF(MONTH(Monat.Tag1)=11,December!Monat.NDgesternTag1,"")))))))))))),"")</f>
        <v>0</v>
      </c>
      <c r="AN76" s="208"/>
      <c r="AO76" s="209"/>
      <c r="AP76" s="209"/>
      <c r="AQ76" s="119"/>
    </row>
    <row r="77" spans="1:43" s="38" customFormat="1" ht="16.5" hidden="1" customHeight="1" outlineLevel="1" x14ac:dyDescent="0.2">
      <c r="A77" s="215" t="s">
        <v>254</v>
      </c>
      <c r="B77" s="216">
        <f t="shared" ref="B77:AF77" ca="1" si="26">B75+IF(B$10=EOMONTH(B$10,0),$AM76,C76)</f>
        <v>0</v>
      </c>
      <c r="C77" s="216">
        <f t="shared" ca="1" si="26"/>
        <v>0</v>
      </c>
      <c r="D77" s="216">
        <f t="shared" ca="1" si="26"/>
        <v>0</v>
      </c>
      <c r="E77" s="216">
        <f t="shared" ca="1" si="26"/>
        <v>0</v>
      </c>
      <c r="F77" s="216">
        <f t="shared" ca="1" si="26"/>
        <v>0</v>
      </c>
      <c r="G77" s="216">
        <f t="shared" ca="1" si="26"/>
        <v>0</v>
      </c>
      <c r="H77" s="216">
        <f t="shared" ca="1" si="26"/>
        <v>0</v>
      </c>
      <c r="I77" s="216">
        <f t="shared" ca="1" si="26"/>
        <v>0</v>
      </c>
      <c r="J77" s="216">
        <f t="shared" ca="1" si="26"/>
        <v>0</v>
      </c>
      <c r="K77" s="216">
        <f t="shared" ca="1" si="26"/>
        <v>0</v>
      </c>
      <c r="L77" s="216">
        <f t="shared" ca="1" si="26"/>
        <v>0</v>
      </c>
      <c r="M77" s="216">
        <f t="shared" ca="1" si="26"/>
        <v>0</v>
      </c>
      <c r="N77" s="216">
        <f t="shared" ca="1" si="26"/>
        <v>0</v>
      </c>
      <c r="O77" s="216">
        <f t="shared" ca="1" si="26"/>
        <v>0</v>
      </c>
      <c r="P77" s="216">
        <f t="shared" ca="1" si="26"/>
        <v>0</v>
      </c>
      <c r="Q77" s="216">
        <f t="shared" ca="1" si="26"/>
        <v>0</v>
      </c>
      <c r="R77" s="216">
        <f t="shared" ca="1" si="26"/>
        <v>0</v>
      </c>
      <c r="S77" s="216">
        <f t="shared" ca="1" si="26"/>
        <v>0</v>
      </c>
      <c r="T77" s="216">
        <f t="shared" ca="1" si="26"/>
        <v>0</v>
      </c>
      <c r="U77" s="216">
        <f t="shared" ca="1" si="26"/>
        <v>0</v>
      </c>
      <c r="V77" s="216">
        <f t="shared" ca="1" si="26"/>
        <v>0</v>
      </c>
      <c r="W77" s="216">
        <f t="shared" ca="1" si="26"/>
        <v>0</v>
      </c>
      <c r="X77" s="216">
        <f t="shared" ca="1" si="26"/>
        <v>0</v>
      </c>
      <c r="Y77" s="216">
        <f t="shared" ca="1" si="26"/>
        <v>0</v>
      </c>
      <c r="Z77" s="216">
        <f t="shared" ca="1" si="26"/>
        <v>0</v>
      </c>
      <c r="AA77" s="216">
        <f t="shared" ca="1" si="26"/>
        <v>0</v>
      </c>
      <c r="AB77" s="216">
        <f t="shared" ca="1" si="26"/>
        <v>0</v>
      </c>
      <c r="AC77" s="216">
        <f t="shared" ca="1" si="26"/>
        <v>0</v>
      </c>
      <c r="AD77" s="216">
        <f t="shared" ca="1" si="26"/>
        <v>0</v>
      </c>
      <c r="AE77" s="216">
        <f t="shared" ca="1" si="26"/>
        <v>0</v>
      </c>
      <c r="AF77" s="216">
        <f t="shared" ca="1" si="26"/>
        <v>0</v>
      </c>
      <c r="AG77" s="217" t="str">
        <f t="shared" si="24"/>
        <v>Total NS hours</v>
      </c>
      <c r="AH77" s="218"/>
      <c r="AI77" s="219">
        <f ca="1">SUM(B77:AF77)</f>
        <v>0</v>
      </c>
      <c r="AJ77" s="214"/>
      <c r="AK77" s="209"/>
      <c r="AL77" s="209"/>
      <c r="AM77" s="209"/>
      <c r="AN77" s="208"/>
      <c r="AO77" s="209"/>
      <c r="AP77" s="209"/>
      <c r="AQ77" s="119"/>
    </row>
    <row r="78" spans="1:43" s="38" customFormat="1" ht="3.75" hidden="1" customHeight="1" collapsed="1" x14ac:dyDescent="0.2">
      <c r="A78" s="220"/>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2"/>
      <c r="AG78" s="205"/>
      <c r="AH78" s="233"/>
      <c r="AI78" s="222"/>
      <c r="AJ78" s="214"/>
      <c r="AK78" s="209"/>
      <c r="AL78" s="209"/>
      <c r="AM78" s="209"/>
      <c r="AN78" s="208"/>
      <c r="AO78" s="209"/>
      <c r="AP78" s="209"/>
      <c r="AQ78" s="119"/>
    </row>
    <row r="79" spans="1:43" s="38" customFormat="1" ht="15" customHeight="1" outlineLevel="1" x14ac:dyDescent="0.2">
      <c r="A79" s="212" t="s">
        <v>200</v>
      </c>
      <c r="B79" s="280">
        <f t="shared" ref="B79:AF79" ca="1" si="27">IF(AND(T.50_Vetsuisse,B70&gt;24),ROUND(B73*T.50_VetsuisseZZSND*1440,0)/1440,
IF(AND(T.ServiceCenterIrchel,B69&gt;0,B77&gt;=ROUND(1/24*8*1440,0)/1440),ROUND(B77*T.ServiceCenterIrchelZZSND*1440,0)/1440,))</f>
        <v>0</v>
      </c>
      <c r="C79" s="280">
        <f t="shared" ca="1" si="27"/>
        <v>0</v>
      </c>
      <c r="D79" s="280">
        <f t="shared" ca="1" si="27"/>
        <v>0</v>
      </c>
      <c r="E79" s="280">
        <f t="shared" ca="1" si="27"/>
        <v>0</v>
      </c>
      <c r="F79" s="280">
        <f t="shared" ca="1" si="27"/>
        <v>0</v>
      </c>
      <c r="G79" s="280">
        <f t="shared" ca="1" si="27"/>
        <v>0</v>
      </c>
      <c r="H79" s="280">
        <f t="shared" ca="1" si="27"/>
        <v>0</v>
      </c>
      <c r="I79" s="280">
        <f t="shared" ca="1" si="27"/>
        <v>0</v>
      </c>
      <c r="J79" s="280">
        <f t="shared" ca="1" si="27"/>
        <v>0</v>
      </c>
      <c r="K79" s="280">
        <f t="shared" ca="1" si="27"/>
        <v>0</v>
      </c>
      <c r="L79" s="280">
        <f t="shared" ca="1" si="27"/>
        <v>0</v>
      </c>
      <c r="M79" s="280">
        <f t="shared" ca="1" si="27"/>
        <v>0</v>
      </c>
      <c r="N79" s="280">
        <f t="shared" ca="1" si="27"/>
        <v>0</v>
      </c>
      <c r="O79" s="280">
        <f t="shared" ca="1" si="27"/>
        <v>0</v>
      </c>
      <c r="P79" s="280">
        <f t="shared" ca="1" si="27"/>
        <v>0</v>
      </c>
      <c r="Q79" s="280">
        <f t="shared" ca="1" si="27"/>
        <v>0</v>
      </c>
      <c r="R79" s="280">
        <f t="shared" ca="1" si="27"/>
        <v>0</v>
      </c>
      <c r="S79" s="280">
        <f t="shared" ca="1" si="27"/>
        <v>0</v>
      </c>
      <c r="T79" s="280">
        <f t="shared" ca="1" si="27"/>
        <v>0</v>
      </c>
      <c r="U79" s="280">
        <f t="shared" ca="1" si="27"/>
        <v>0</v>
      </c>
      <c r="V79" s="280">
        <f t="shared" ca="1" si="27"/>
        <v>0</v>
      </c>
      <c r="W79" s="280">
        <f t="shared" ca="1" si="27"/>
        <v>0</v>
      </c>
      <c r="X79" s="280">
        <f t="shared" ca="1" si="27"/>
        <v>0</v>
      </c>
      <c r="Y79" s="280">
        <f t="shared" ca="1" si="27"/>
        <v>0</v>
      </c>
      <c r="Z79" s="280">
        <f t="shared" ca="1" si="27"/>
        <v>0</v>
      </c>
      <c r="AA79" s="280">
        <f t="shared" ca="1" si="27"/>
        <v>0</v>
      </c>
      <c r="AB79" s="280">
        <f t="shared" ca="1" si="27"/>
        <v>0</v>
      </c>
      <c r="AC79" s="280">
        <f t="shared" ca="1" si="27"/>
        <v>0</v>
      </c>
      <c r="AD79" s="280">
        <f t="shared" ca="1" si="27"/>
        <v>0</v>
      </c>
      <c r="AE79" s="280">
        <f t="shared" ca="1" si="27"/>
        <v>0</v>
      </c>
      <c r="AF79" s="280">
        <f t="shared" ca="1" si="27"/>
        <v>0</v>
      </c>
      <c r="AG79" s="205" t="str">
        <f t="shared" si="20"/>
        <v>Time supplement night shift</v>
      </c>
      <c r="AH79" s="274"/>
      <c r="AI79" s="238">
        <f t="shared" ref="AI79:AI80" ca="1" si="28">SUM(B79:AF79)</f>
        <v>0</v>
      </c>
      <c r="AJ79" s="261"/>
      <c r="AK79" s="224"/>
      <c r="AL79" s="245">
        <f ca="1">IF(EB.Anwendung&lt;&gt;"",IF(MONTH(Monat.Tag1)=1,EB.ZZNd,IF(MONTH(Monat.Tag1)=2,January!Monat.ZZNdUe,IF(MONTH(Monat.Tag1)=3,February!Monat.ZZNdUe,IF(MONTH(Monat.Tag1)=4,March!Monat.ZZNdUe,IF(MONTH(Monat.Tag1)=5,April!Monat.ZZNdUe,IF(MONTH(Monat.Tag1)=6,May!Monat.ZZNdUe,IF(MONTH(Monat.Tag1)=7,June!Monat.ZZNdUe,IF(MONTH(Monat.Tag1)=8,July!Monat.ZZNdUe,IF(MONTH(Monat.Tag1)=9,August!Monat.ZZNdUe,IF(MONTH(Monat.Tag1)=10,September!Monat.ZZNdUe,IF(MONTH(Monat.Tag1)=11,October!Monat.ZZNdUe,IF(MONTH(Monat.Tag1)=12,November!Monat.ZZNdUe,"")))))))))))),"")</f>
        <v>0</v>
      </c>
      <c r="AM79" s="209"/>
      <c r="AN79" s="246">
        <f ca="1">AI79+AL79-AI71</f>
        <v>0</v>
      </c>
      <c r="AO79" s="246">
        <f ca="1">OFFSET(Jahr.ZZSNDSaldo,-13+MONTH(Monat.Tag1),0,1,1)</f>
        <v>0</v>
      </c>
      <c r="AP79" s="246">
        <f ca="1">Jahr.ZZSNDSaldo</f>
        <v>0</v>
      </c>
      <c r="AQ79" s="119"/>
    </row>
    <row r="80" spans="1:43" s="38" customFormat="1" ht="15" customHeight="1" outlineLevel="1" x14ac:dyDescent="0.2">
      <c r="A80" s="212" t="s">
        <v>224</v>
      </c>
      <c r="B80" s="280" t="str">
        <f t="shared" ref="B80:AF80" si="29">IF(T.50_Vetsuisse,IF(OR(B$12=0,B$11=0,WEEKDAY(B$10,2)&gt;5),0,ROUND((MAX(0,T.Abendbis-MAX(B13,T.Abendab))-MAX(0,T.Abendbis-MAX(T.Abendab,B14))+(B13&gt;B14)*(1+T.Abendab-T.Abendbis)+MAX(0,T.Abendbis-MAX(B15,T.Abendab))-MAX(0,T.Abendbis-MAX(T.Abendab,B16))+(B15&gt;B16)*(1+T.Abendab-T.Abendbis)+MAX(0,T.Abendbis-MAX(B17,T.Abendab))-MAX(0,T.Abendbis-MAX(T.Abendab,B18))+(B17&gt;B18)*(1+T.Abendab-T.Abendbis)+MAX(0,T.Abendbis-MAX(B19,T.Abendab))-MAX(0,T.Abendbis-MAX(T.Abendab,B20))+(B19&gt;B20)*(1+T.Abendab-T.Abendbis)+MAX(0,T.Abendbis-MAX(B21,T.Abendab))-MAX(0,T.Abendbis-MAX(T.Abendab,B22))+(B21&gt;B22)*(1+T.Abendab-T.Abendbis))*1440,0)/1440),"")</f>
        <v/>
      </c>
      <c r="C80" s="280" t="str">
        <f t="shared" si="29"/>
        <v/>
      </c>
      <c r="D80" s="280" t="str">
        <f t="shared" si="29"/>
        <v/>
      </c>
      <c r="E80" s="280" t="str">
        <f t="shared" si="29"/>
        <v/>
      </c>
      <c r="F80" s="280" t="str">
        <f t="shared" si="29"/>
        <v/>
      </c>
      <c r="G80" s="280" t="str">
        <f t="shared" si="29"/>
        <v/>
      </c>
      <c r="H80" s="280" t="str">
        <f t="shared" si="29"/>
        <v/>
      </c>
      <c r="I80" s="280" t="str">
        <f t="shared" si="29"/>
        <v/>
      </c>
      <c r="J80" s="280" t="str">
        <f t="shared" si="29"/>
        <v/>
      </c>
      <c r="K80" s="280" t="str">
        <f t="shared" si="29"/>
        <v/>
      </c>
      <c r="L80" s="280" t="str">
        <f t="shared" si="29"/>
        <v/>
      </c>
      <c r="M80" s="280" t="str">
        <f t="shared" si="29"/>
        <v/>
      </c>
      <c r="N80" s="280" t="str">
        <f t="shared" si="29"/>
        <v/>
      </c>
      <c r="O80" s="280" t="str">
        <f t="shared" si="29"/>
        <v/>
      </c>
      <c r="P80" s="280" t="str">
        <f t="shared" si="29"/>
        <v/>
      </c>
      <c r="Q80" s="280" t="str">
        <f t="shared" si="29"/>
        <v/>
      </c>
      <c r="R80" s="280" t="str">
        <f t="shared" si="29"/>
        <v/>
      </c>
      <c r="S80" s="280" t="str">
        <f t="shared" si="29"/>
        <v/>
      </c>
      <c r="T80" s="280" t="str">
        <f t="shared" si="29"/>
        <v/>
      </c>
      <c r="U80" s="280" t="str">
        <f t="shared" si="29"/>
        <v/>
      </c>
      <c r="V80" s="280" t="str">
        <f t="shared" si="29"/>
        <v/>
      </c>
      <c r="W80" s="280" t="str">
        <f t="shared" si="29"/>
        <v/>
      </c>
      <c r="X80" s="280" t="str">
        <f t="shared" si="29"/>
        <v/>
      </c>
      <c r="Y80" s="280" t="str">
        <f t="shared" si="29"/>
        <v/>
      </c>
      <c r="Z80" s="280" t="str">
        <f t="shared" si="29"/>
        <v/>
      </c>
      <c r="AA80" s="280" t="str">
        <f t="shared" si="29"/>
        <v/>
      </c>
      <c r="AB80" s="280" t="str">
        <f t="shared" si="29"/>
        <v/>
      </c>
      <c r="AC80" s="280" t="str">
        <f t="shared" si="29"/>
        <v/>
      </c>
      <c r="AD80" s="280" t="str">
        <f t="shared" si="29"/>
        <v/>
      </c>
      <c r="AE80" s="280" t="str">
        <f t="shared" si="29"/>
        <v/>
      </c>
      <c r="AF80" s="280" t="str">
        <f t="shared" si="29"/>
        <v/>
      </c>
      <c r="AG80" s="205" t="str">
        <f t="shared" si="20"/>
        <v>Evening work</v>
      </c>
      <c r="AH80" s="274"/>
      <c r="AI80" s="238">
        <f t="shared" si="28"/>
        <v>0</v>
      </c>
      <c r="AJ80" s="261"/>
      <c r="AK80" s="224"/>
      <c r="AL80" s="245">
        <f ca="1">IF(EB.Anwendung&lt;&gt;"",IF(MONTH(Monat.Tag1)=1,0,IF(MONTH(Monat.Tag1)=2,January!Monat.AAUeVM,IF(MONTH(Monat.Tag1)=3,February!Monat.AAUeVM,IF(MONTH(Monat.Tag1)=4,March!Monat.AAUeVM,IF(MONTH(Monat.Tag1)=5,April!Monat.AAUeVM,IF(MONTH(Monat.Tag1)=6,May!Monat.AAUeVM,IF(MONTH(Monat.Tag1)=7,June!Monat.AAUeVM,IF(MONTH(Monat.Tag1)=8,July!Monat.AAUeVM,IF(MONTH(Monat.Tag1)=9,August!Monat.AAUeVM,IF(MONTH(Monat.Tag1)=10,September!Monat.AAUeVM,IF(MONTH(Monat.Tag1)=11,October!Monat.AAUeVM,IF(MONTH(Monat.Tag1)=12,November!Monat.AAUeVM,"")))))))))))),"")</f>
        <v>0</v>
      </c>
      <c r="AM80" s="209"/>
      <c r="AN80" s="246">
        <f ca="1">AI80+AL80</f>
        <v>0</v>
      </c>
      <c r="AO80" s="208"/>
      <c r="AP80" s="208"/>
      <c r="AQ80" s="119"/>
    </row>
    <row r="81" spans="1:43" s="38" customFormat="1" ht="15" customHeight="1" outlineLevel="1" x14ac:dyDescent="0.2">
      <c r="A81" s="212" t="s">
        <v>89</v>
      </c>
      <c r="B81" s="280">
        <f t="shared" ref="B81:AF81" ca="1" si="30">IF(EB.Wochenarbeitszeit=50/24,"",IF(B$12=0,0,IF(OR(WEEKDAY(B$10,2)&gt;5,B$11=0),IF(NOT(B$34=INDEX(T.Pikett.Bereich,1)),1,0),IF(WEEKDAY(B$10,2)&lt;6,IF(AND(OR(B$34=INDEX(T.Pikett.Bereich,2),B$34=INDEX(T.Pikett.Bereich,3)),B$11=1),8/24,0))+IF(WEEKDAY(B$10,2)&lt;6,IF(AND(OR(B$34=INDEX(T.Pikett.Bereich,2),B$34=INDEX(T.Pikett.Bereich,3)),B$11=6/8.4),10/24,0))
+IF(WEEKDAY(B$10,2)&lt;6,IF(AND(OR(B$34=INDEX(T.Pikett.Bereich,2),B$34=INDEX(T.Pikett.Bereich,3)),B$11=0.5),0.5,0))
+IF(AND(B$34=INDEX(T.Pikett.Bereich,4),B$11=6/8.4),0.75,0)+IF(AND(B$34=INDEX(T.Pikett.Bereich,4),B$11=1),16/24,0)
+IF(AND(B$34=INDEX(T.Pikett.Bereich,4),B$11=0.5),20/24,0))))</f>
        <v>0</v>
      </c>
      <c r="C81" s="280">
        <f t="shared" ca="1" si="30"/>
        <v>0</v>
      </c>
      <c r="D81" s="280">
        <f t="shared" ca="1" si="30"/>
        <v>0</v>
      </c>
      <c r="E81" s="280">
        <f t="shared" ca="1" si="30"/>
        <v>0</v>
      </c>
      <c r="F81" s="280">
        <f t="shared" ca="1" si="30"/>
        <v>0</v>
      </c>
      <c r="G81" s="280">
        <f t="shared" ca="1" si="30"/>
        <v>0</v>
      </c>
      <c r="H81" s="280">
        <f t="shared" ca="1" si="30"/>
        <v>0</v>
      </c>
      <c r="I81" s="280">
        <f t="shared" ca="1" si="30"/>
        <v>0</v>
      </c>
      <c r="J81" s="280">
        <f t="shared" ca="1" si="30"/>
        <v>0</v>
      </c>
      <c r="K81" s="280">
        <f t="shared" ca="1" si="30"/>
        <v>0</v>
      </c>
      <c r="L81" s="280">
        <f t="shared" ca="1" si="30"/>
        <v>0</v>
      </c>
      <c r="M81" s="280">
        <f t="shared" ca="1" si="30"/>
        <v>0</v>
      </c>
      <c r="N81" s="280">
        <f t="shared" ca="1" si="30"/>
        <v>0</v>
      </c>
      <c r="O81" s="280">
        <f t="shared" ca="1" si="30"/>
        <v>0</v>
      </c>
      <c r="P81" s="280">
        <f t="shared" ca="1" si="30"/>
        <v>0</v>
      </c>
      <c r="Q81" s="280">
        <f t="shared" ca="1" si="30"/>
        <v>0</v>
      </c>
      <c r="R81" s="280">
        <f t="shared" ca="1" si="30"/>
        <v>0</v>
      </c>
      <c r="S81" s="280">
        <f t="shared" ca="1" si="30"/>
        <v>0</v>
      </c>
      <c r="T81" s="280">
        <f t="shared" ca="1" si="30"/>
        <v>0</v>
      </c>
      <c r="U81" s="280">
        <f t="shared" ca="1" si="30"/>
        <v>0</v>
      </c>
      <c r="V81" s="280">
        <f t="shared" ca="1" si="30"/>
        <v>0</v>
      </c>
      <c r="W81" s="280">
        <f t="shared" ca="1" si="30"/>
        <v>0</v>
      </c>
      <c r="X81" s="280">
        <f t="shared" ca="1" si="30"/>
        <v>0</v>
      </c>
      <c r="Y81" s="280">
        <f t="shared" ca="1" si="30"/>
        <v>0</v>
      </c>
      <c r="Z81" s="280">
        <f t="shared" ca="1" si="30"/>
        <v>0</v>
      </c>
      <c r="AA81" s="280">
        <f t="shared" ca="1" si="30"/>
        <v>0</v>
      </c>
      <c r="AB81" s="280">
        <f t="shared" ca="1" si="30"/>
        <v>0</v>
      </c>
      <c r="AC81" s="280">
        <f t="shared" ca="1" si="30"/>
        <v>0</v>
      </c>
      <c r="AD81" s="280">
        <f t="shared" ca="1" si="30"/>
        <v>0</v>
      </c>
      <c r="AE81" s="280">
        <f t="shared" ca="1" si="30"/>
        <v>0</v>
      </c>
      <c r="AF81" s="280">
        <f t="shared" ca="1" si="30"/>
        <v>0</v>
      </c>
      <c r="AG81" s="205" t="str">
        <f t="shared" si="20"/>
        <v>On-call duty</v>
      </c>
      <c r="AH81" s="274"/>
      <c r="AI81" s="238">
        <f ca="1">SUM(B81:AF81)</f>
        <v>0</v>
      </c>
      <c r="AJ81" s="261"/>
      <c r="AK81" s="224"/>
      <c r="AL81" s="245">
        <f ca="1">IF(EB.Anwendung&lt;&gt;"",IF(MONTH(Monat.Tag1)=1,0,IF(MONTH(Monat.Tag1)=2,January!Monat.BDUeVM,IF(MONTH(Monat.Tag1)=3,February!Monat.BDUeVM,IF(MONTH(Monat.Tag1)=4,March!Monat.BDUeVM,IF(MONTH(Monat.Tag1)=5,April!Monat.BDUeVM,IF(MONTH(Monat.Tag1)=6,May!Monat.BDUeVM,IF(MONTH(Monat.Tag1)=7,June!Monat.BDUeVM,IF(MONTH(Monat.Tag1)=8,July!Monat.BDUeVM,IF(MONTH(Monat.Tag1)=9,August!Monat.BDUeVM,IF(MONTH(Monat.Tag1)=10,September!Monat.BDUeVM,IF(MONTH(Monat.Tag1)=11,October!Monat.BDUeVM,IF(MONTH(Monat.Tag1)=12,November!Monat.BDUeVM,"")))))))))))),"")</f>
        <v>0</v>
      </c>
      <c r="AM81" s="209"/>
      <c r="AN81" s="246">
        <f ca="1">AI81+AL81</f>
        <v>0</v>
      </c>
      <c r="AO81" s="208"/>
      <c r="AP81" s="208"/>
      <c r="AQ81" s="119"/>
    </row>
    <row r="82" spans="1:43" s="38" customFormat="1" ht="15" customHeight="1" outlineLevel="1" x14ac:dyDescent="0.2">
      <c r="A82" s="212" t="s">
        <v>90</v>
      </c>
      <c r="B82" s="280">
        <f t="shared" ref="B82:AF82" ca="1" si="31">IF(B$12=0,"",IF(OR(WEEKDAY(B$10,2)&gt;5,B$11=0),
IF(T.50_NoVetsuisse,B45,
IF(T.50_Vetsuisse,IF(B23-B73=0,"",B23-B73),
IF(T.ServiceCenterIrchel,B23,
B60))),))</f>
        <v>0</v>
      </c>
      <c r="C82" s="280">
        <f t="shared" ca="1" si="31"/>
        <v>0</v>
      </c>
      <c r="D82" s="281">
        <f t="shared" ca="1" si="31"/>
        <v>0</v>
      </c>
      <c r="E82" s="280">
        <f t="shared" ca="1" si="31"/>
        <v>0</v>
      </c>
      <c r="F82" s="281" t="str">
        <f t="shared" ca="1" si="31"/>
        <v/>
      </c>
      <c r="G82" s="281" t="str">
        <f t="shared" ca="1" si="31"/>
        <v/>
      </c>
      <c r="H82" s="281">
        <f t="shared" ca="1" si="31"/>
        <v>0</v>
      </c>
      <c r="I82" s="281">
        <f t="shared" ca="1" si="31"/>
        <v>0</v>
      </c>
      <c r="J82" s="280">
        <f t="shared" ca="1" si="31"/>
        <v>0</v>
      </c>
      <c r="K82" s="281">
        <f t="shared" ca="1" si="31"/>
        <v>0</v>
      </c>
      <c r="L82" s="280">
        <f t="shared" ca="1" si="31"/>
        <v>0</v>
      </c>
      <c r="M82" s="281" t="str">
        <f t="shared" ca="1" si="31"/>
        <v/>
      </c>
      <c r="N82" s="281" t="str">
        <f t="shared" ca="1" si="31"/>
        <v/>
      </c>
      <c r="O82" s="281">
        <f t="shared" ca="1" si="31"/>
        <v>0</v>
      </c>
      <c r="P82" s="281">
        <f t="shared" ca="1" si="31"/>
        <v>0</v>
      </c>
      <c r="Q82" s="280">
        <f t="shared" ca="1" si="31"/>
        <v>0</v>
      </c>
      <c r="R82" s="281">
        <f t="shared" ca="1" si="31"/>
        <v>0</v>
      </c>
      <c r="S82" s="280">
        <f t="shared" ca="1" si="31"/>
        <v>0</v>
      </c>
      <c r="T82" s="280" t="str">
        <f t="shared" ca="1" si="31"/>
        <v/>
      </c>
      <c r="U82" s="281" t="str">
        <f t="shared" ca="1" si="31"/>
        <v/>
      </c>
      <c r="V82" s="281">
        <f t="shared" ca="1" si="31"/>
        <v>0</v>
      </c>
      <c r="W82" s="281">
        <f t="shared" ca="1" si="31"/>
        <v>0</v>
      </c>
      <c r="X82" s="280">
        <f t="shared" ca="1" si="31"/>
        <v>0</v>
      </c>
      <c r="Y82" s="281">
        <f t="shared" ca="1" si="31"/>
        <v>0</v>
      </c>
      <c r="Z82" s="282" t="str">
        <f t="shared" ca="1" si="31"/>
        <v/>
      </c>
      <c r="AA82" s="281" t="str">
        <f t="shared" ca="1" si="31"/>
        <v/>
      </c>
      <c r="AB82" s="281" t="str">
        <f t="shared" ca="1" si="31"/>
        <v/>
      </c>
      <c r="AC82" s="281">
        <f t="shared" ca="1" si="31"/>
        <v>0</v>
      </c>
      <c r="AD82" s="281">
        <f t="shared" ca="1" si="31"/>
        <v>0</v>
      </c>
      <c r="AE82" s="280">
        <f t="shared" ca="1" si="31"/>
        <v>0</v>
      </c>
      <c r="AF82" s="281">
        <f t="shared" ca="1" si="31"/>
        <v>0</v>
      </c>
      <c r="AG82" s="205" t="str">
        <f t="shared" si="20"/>
        <v>Saturday/Sunday shift</v>
      </c>
      <c r="AH82" s="228"/>
      <c r="AI82" s="238">
        <f ca="1">SUM(B82:AF82)</f>
        <v>0</v>
      </c>
      <c r="AJ82" s="229">
        <f ca="1">IFERROR(SUMPRODUCT((B82:AF82&gt;0)*(B82:AF82&lt;&gt;"")),0)</f>
        <v>0</v>
      </c>
      <c r="AK82" s="224"/>
      <c r="AL82" s="245">
        <f ca="1">IF(EB.Anwendung&lt;&gt;"",IF(MONTH(Monat.Tag1)=1,0,IF(MONTH(Monat.Tag1)=2,January!Monat.SDUeVM,IF(MONTH(Monat.Tag1)=3,February!Monat.SDUeVM,IF(MONTH(Monat.Tag1)=4,March!Monat.SDUeVM,IF(MONTH(Monat.Tag1)=5,April!Monat.SDUeVM,IF(MONTH(Monat.Tag1)=6,May!Monat.SDUeVM,IF(MONTH(Monat.Tag1)=7,June!Monat.SDUeVM,IF(MONTH(Monat.Tag1)=8,July!Monat.SDUeVM,IF(MONTH(Monat.Tag1)=9,August!Monat.SDUeVM,IF(MONTH(Monat.Tag1)=10,September!Monat.SDUeVM,IF(MONTH(Monat.Tag1)=11,October!Monat.SDUeVM,IF(MONTH(Monat.Tag1)=12,November!Monat.SDUeVM,"")))))))))))),"")</f>
        <v>0</v>
      </c>
      <c r="AM82" s="209"/>
      <c r="AN82" s="246">
        <f ca="1">AI82+AL82</f>
        <v>0</v>
      </c>
      <c r="AO82" s="208"/>
      <c r="AP82" s="208"/>
      <c r="AQ82" s="119"/>
    </row>
    <row r="83" spans="1:43" s="38" customFormat="1" ht="11.25" customHeight="1" outlineLevel="1" x14ac:dyDescent="0.2">
      <c r="A83" s="220"/>
      <c r="B83" s="226"/>
      <c r="C83" s="226"/>
      <c r="D83" s="226"/>
      <c r="E83" s="226"/>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7"/>
      <c r="AG83" s="205"/>
      <c r="AH83" s="228"/>
      <c r="AI83" s="224"/>
      <c r="AJ83" s="278"/>
      <c r="AK83" s="262"/>
      <c r="AL83" s="262"/>
      <c r="AM83" s="209"/>
      <c r="AN83" s="279"/>
      <c r="AO83" s="283"/>
      <c r="AP83" s="283"/>
      <c r="AQ83" s="119"/>
    </row>
    <row r="84" spans="1:43" s="38" customFormat="1" ht="15" customHeight="1" x14ac:dyDescent="0.2">
      <c r="A84" s="212" t="s">
        <v>80</v>
      </c>
      <c r="B84" s="40"/>
      <c r="C84" s="40"/>
      <c r="D84" s="40"/>
      <c r="E84" s="40"/>
      <c r="F84" s="40"/>
      <c r="G84" s="40"/>
      <c r="H84" s="40"/>
      <c r="I84" s="40"/>
      <c r="J84" s="40"/>
      <c r="K84" s="40"/>
      <c r="L84" s="40"/>
      <c r="M84" s="40"/>
      <c r="N84" s="40"/>
      <c r="O84" s="40"/>
      <c r="P84" s="40"/>
      <c r="Q84" s="40"/>
      <c r="R84" s="40"/>
      <c r="S84" s="40"/>
      <c r="T84" s="40"/>
      <c r="U84" s="40"/>
      <c r="V84" s="40"/>
      <c r="W84" s="40"/>
      <c r="X84" s="40"/>
      <c r="Y84" s="40"/>
      <c r="Z84" s="47"/>
      <c r="AA84" s="40"/>
      <c r="AB84" s="40"/>
      <c r="AC84" s="40"/>
      <c r="AD84" s="40"/>
      <c r="AE84" s="40"/>
      <c r="AF84" s="40"/>
      <c r="AG84" s="205" t="str">
        <f>A84 &amp; IFERROR(IF(AND(MONTH(Monat.Tag1)=6,EB.Jahr&gt;2020),IF(SUM(Jahresabrechnung!AC15:AC20)&lt;EB.FerienBer,IF(EB.Sprache="EN"," (Balance PY "," (Saldo VJ ") &amp; " &gt; 0!)",""),""),"")</f>
        <v>Vacation</v>
      </c>
      <c r="AH84" s="218"/>
      <c r="AI84" s="238">
        <f t="shared" ref="AI84:AI95" si="32">SUM(B84:AF84)</f>
        <v>0</v>
      </c>
      <c r="AJ84" s="261"/>
      <c r="AK84" s="245">
        <f ca="1">OFFSET(EB.MFAStd.Knoten,MONTH(Monat.Tag1),0,1,1)</f>
        <v>0</v>
      </c>
      <c r="AL84" s="245">
        <f ca="1">IF(EB.Anwendung&lt;&gt;"",IF(MONTH(Monat.Tag1)=1,EB.FerienBer,IF(MONTH(Monat.Tag1)=2,January!Monat.FerienUeVM,IF(MONTH(Monat.Tag1)=3,February!Monat.FerienUeVM,IF(MONTH(Monat.Tag1)=4,March!Monat.FerienUeVM,IF(MONTH(Monat.Tag1)=5,April!Monat.FerienUeVM,IF(MONTH(Monat.Tag1)=6,May!Monat.FerienUeVM,IF(MONTH(Monat.Tag1)=7,June!Monat.FerienUeVM,IF(MONTH(Monat.Tag1)=8,July!Monat.FerienUeVM,IF(MONTH(Monat.Tag1)=9,August!Monat.FerienUeVM,IF(MONTH(Monat.Tag1)=10,September!Monat.FerienUeVM,IF(MONTH(Monat.Tag1)=11,October!Monat.FerienUeVM,IF(MONTH(Monat.Tag1)=12,November!Monat.FerienUeVM,"")))))))))))),"")</f>
        <v>0</v>
      </c>
      <c r="AM84" s="209"/>
      <c r="AN84" s="246">
        <f ca="1">ROUND(IF(AH85="+",(AK84+AL84-Monat.Ferien.Total+AI85),(AK84+AL84-Monat.Ferien.Total-AI85))*1440,0)/1440</f>
        <v>0</v>
      </c>
      <c r="AO84" s="246">
        <f ca="1">SUM(Jahresabrechnung!AC12:AC13)-SUM(OFFSET(Jahresabrechnung!AC15,0,0,MONTH(Monat.Tag1),1))</f>
        <v>0</v>
      </c>
      <c r="AP84" s="246">
        <f ca="1">J.FerienUE.Total</f>
        <v>0</v>
      </c>
      <c r="AQ84" s="119"/>
    </row>
    <row r="85" spans="1:43" s="38" customFormat="1" ht="15" customHeight="1" x14ac:dyDescent="0.2">
      <c r="A85" s="220"/>
      <c r="B85" s="437">
        <f t="shared" ref="B85:AF85" ca="1" si="33">IF(DAY(B$10)=1,Monat.Ferien.JS+Monat.Ferien.Total-B84,A85-B84)</f>
        <v>0</v>
      </c>
      <c r="C85" s="437">
        <f t="shared" ca="1" si="33"/>
        <v>0</v>
      </c>
      <c r="D85" s="437">
        <f t="shared" ca="1" si="33"/>
        <v>0</v>
      </c>
      <c r="E85" s="437">
        <f t="shared" ca="1" si="33"/>
        <v>0</v>
      </c>
      <c r="F85" s="437">
        <f t="shared" ca="1" si="33"/>
        <v>0</v>
      </c>
      <c r="G85" s="437">
        <f t="shared" ca="1" si="33"/>
        <v>0</v>
      </c>
      <c r="H85" s="437">
        <f t="shared" ca="1" si="33"/>
        <v>0</v>
      </c>
      <c r="I85" s="437">
        <f t="shared" ca="1" si="33"/>
        <v>0</v>
      </c>
      <c r="J85" s="437">
        <f t="shared" ca="1" si="33"/>
        <v>0</v>
      </c>
      <c r="K85" s="437">
        <f t="shared" ca="1" si="33"/>
        <v>0</v>
      </c>
      <c r="L85" s="437">
        <f t="shared" ca="1" si="33"/>
        <v>0</v>
      </c>
      <c r="M85" s="437">
        <f t="shared" ca="1" si="33"/>
        <v>0</v>
      </c>
      <c r="N85" s="437">
        <f t="shared" ca="1" si="33"/>
        <v>0</v>
      </c>
      <c r="O85" s="437">
        <f t="shared" ca="1" si="33"/>
        <v>0</v>
      </c>
      <c r="P85" s="437">
        <f t="shared" ca="1" si="33"/>
        <v>0</v>
      </c>
      <c r="Q85" s="437">
        <f t="shared" ca="1" si="33"/>
        <v>0</v>
      </c>
      <c r="R85" s="437">
        <f t="shared" ca="1" si="33"/>
        <v>0</v>
      </c>
      <c r="S85" s="437">
        <f t="shared" ca="1" si="33"/>
        <v>0</v>
      </c>
      <c r="T85" s="437">
        <f t="shared" ca="1" si="33"/>
        <v>0</v>
      </c>
      <c r="U85" s="437">
        <f t="shared" ca="1" si="33"/>
        <v>0</v>
      </c>
      <c r="V85" s="437">
        <f t="shared" ca="1" si="33"/>
        <v>0</v>
      </c>
      <c r="W85" s="437">
        <f t="shared" ca="1" si="33"/>
        <v>0</v>
      </c>
      <c r="X85" s="437">
        <f t="shared" ca="1" si="33"/>
        <v>0</v>
      </c>
      <c r="Y85" s="437">
        <f t="shared" ca="1" si="33"/>
        <v>0</v>
      </c>
      <c r="Z85" s="437">
        <f t="shared" ca="1" si="33"/>
        <v>0</v>
      </c>
      <c r="AA85" s="437">
        <f t="shared" ca="1" si="33"/>
        <v>0</v>
      </c>
      <c r="AB85" s="437">
        <f t="shared" ca="1" si="33"/>
        <v>0</v>
      </c>
      <c r="AC85" s="437">
        <f t="shared" ca="1" si="33"/>
        <v>0</v>
      </c>
      <c r="AD85" s="437">
        <f t="shared" ca="1" si="33"/>
        <v>0</v>
      </c>
      <c r="AE85" s="437">
        <f t="shared" ca="1" si="33"/>
        <v>0</v>
      </c>
      <c r="AF85" s="438">
        <f t="shared" ca="1" si="33"/>
        <v>0</v>
      </c>
      <c r="AG85" s="212" t="s">
        <v>92</v>
      </c>
      <c r="AH85" s="45" t="s">
        <v>2</v>
      </c>
      <c r="AI85" s="48"/>
      <c r="AJ85" s="270"/>
      <c r="AK85" s="209"/>
      <c r="AL85" s="209"/>
      <c r="AM85" s="209"/>
      <c r="AN85" s="208"/>
      <c r="AO85" s="284"/>
      <c r="AP85" s="284"/>
      <c r="AQ85" s="119"/>
    </row>
    <row r="86" spans="1:43" s="38" customFormat="1" ht="15" customHeight="1" x14ac:dyDescent="0.2">
      <c r="A86" s="212" t="s">
        <v>81</v>
      </c>
      <c r="B86" s="40"/>
      <c r="C86" s="40"/>
      <c r="D86" s="40"/>
      <c r="E86" s="27"/>
      <c r="F86" s="40"/>
      <c r="G86" s="40"/>
      <c r="H86" s="40"/>
      <c r="I86" s="40"/>
      <c r="J86" s="27"/>
      <c r="K86" s="40"/>
      <c r="L86" s="27"/>
      <c r="M86" s="40"/>
      <c r="N86" s="40"/>
      <c r="O86" s="40"/>
      <c r="P86" s="40"/>
      <c r="Q86" s="27"/>
      <c r="R86" s="40"/>
      <c r="S86" s="27"/>
      <c r="T86" s="27"/>
      <c r="U86" s="40"/>
      <c r="V86" s="40"/>
      <c r="W86" s="40"/>
      <c r="X86" s="27"/>
      <c r="Y86" s="40"/>
      <c r="Z86" s="39"/>
      <c r="AA86" s="40"/>
      <c r="AB86" s="40"/>
      <c r="AC86" s="40"/>
      <c r="AD86" s="40"/>
      <c r="AE86" s="27"/>
      <c r="AF86" s="40"/>
      <c r="AG86" s="205" t="str">
        <f t="shared" ref="AG86:AG112" si="34">A86</f>
        <v>Consultation</v>
      </c>
      <c r="AH86" s="218"/>
      <c r="AI86" s="238">
        <f t="shared" si="32"/>
        <v>0</v>
      </c>
      <c r="AJ86" s="261"/>
      <c r="AK86" s="262"/>
      <c r="AL86" s="245">
        <f ca="1">IF(EB.Anwendung&lt;&gt;"",IF(MONTH(Monat.Tag1)=1,0,IF(MONTH(Monat.Tag1)=2,January!Monat.ArztUeVM,IF(MONTH(Monat.Tag1)=3,February!Monat.ArztUeVM,IF(MONTH(Monat.Tag1)=4,March!Monat.ArztUeVM,IF(MONTH(Monat.Tag1)=5,April!Monat.ArztUeVM,IF(MONTH(Monat.Tag1)=6,May!Monat.ArztUeVM,IF(MONTH(Monat.Tag1)=7,June!Monat.ArztUeVM,IF(MONTH(Monat.Tag1)=8,July!Monat.ArztUeVM,IF(MONTH(Monat.Tag1)=9,August!Monat.ArztUeVM,IF(MONTH(Monat.Tag1)=10,September!Monat.ArztUeVM,IF(MONTH(Monat.Tag1)=11,October!Monat.ArztUeVM,IF(MONTH(Monat.Tag1)=12,November!Monat.ArztUeVM,"")))))))))))),"")</f>
        <v>0</v>
      </c>
      <c r="AM86" s="209"/>
      <c r="AN86" s="246">
        <f t="shared" ref="AN86:AN94" ca="1" si="35">AI86+AL86</f>
        <v>0</v>
      </c>
      <c r="AO86" s="208"/>
      <c r="AP86" s="208"/>
      <c r="AQ86" s="119"/>
    </row>
    <row r="87" spans="1:43" s="38" customFormat="1" ht="15" customHeight="1" x14ac:dyDescent="0.2">
      <c r="A87" s="212" t="s">
        <v>82</v>
      </c>
      <c r="B87" s="40"/>
      <c r="C87" s="40"/>
      <c r="D87" s="40"/>
      <c r="E87" s="27"/>
      <c r="F87" s="40"/>
      <c r="G87" s="40"/>
      <c r="H87" s="40"/>
      <c r="I87" s="40"/>
      <c r="J87" s="27"/>
      <c r="K87" s="40"/>
      <c r="L87" s="27"/>
      <c r="M87" s="40"/>
      <c r="N87" s="40"/>
      <c r="O87" s="40"/>
      <c r="P87" s="40"/>
      <c r="Q87" s="27"/>
      <c r="R87" s="40"/>
      <c r="S87" s="27"/>
      <c r="T87" s="27"/>
      <c r="U87" s="40"/>
      <c r="V87" s="40"/>
      <c r="W87" s="40"/>
      <c r="X87" s="27"/>
      <c r="Y87" s="40"/>
      <c r="Z87" s="39"/>
      <c r="AA87" s="40"/>
      <c r="AB87" s="40"/>
      <c r="AC87" s="40"/>
      <c r="AD87" s="40"/>
      <c r="AE87" s="27"/>
      <c r="AF87" s="40"/>
      <c r="AG87" s="205" t="str">
        <f t="shared" si="34"/>
        <v>Illness</v>
      </c>
      <c r="AH87" s="218"/>
      <c r="AI87" s="238">
        <f t="shared" si="32"/>
        <v>0</v>
      </c>
      <c r="AJ87" s="261"/>
      <c r="AK87" s="262"/>
      <c r="AL87" s="245">
        <f ca="1">IF(EB.Anwendung&lt;&gt;"",IF(MONTH(Monat.Tag1)=1,0,IF(MONTH(Monat.Tag1)=2,January!Monat.KrankUeVM,IF(MONTH(Monat.Tag1)=3,February!Monat.KrankUeVM,IF(MONTH(Monat.Tag1)=4,March!Monat.KrankUeVM,IF(MONTH(Monat.Tag1)=5,April!Monat.KrankUeVM,IF(MONTH(Monat.Tag1)=6,May!Monat.KrankUeVM,IF(MONTH(Monat.Tag1)=7,June!Monat.KrankUeVM,IF(MONTH(Monat.Tag1)=8,July!Monat.KrankUeVM,IF(MONTH(Monat.Tag1)=9,August!Monat.KrankUeVM,IF(MONTH(Monat.Tag1)=10,September!Monat.KrankUeVM,IF(MONTH(Monat.Tag1)=11,October!Monat.KrankUeVM,IF(MONTH(Monat.Tag1)=12,November!Monat.KrankUeVM,"")))))))))))),"")</f>
        <v>0</v>
      </c>
      <c r="AM87" s="209"/>
      <c r="AN87" s="246">
        <f t="shared" ca="1" si="35"/>
        <v>0</v>
      </c>
      <c r="AO87" s="208"/>
      <c r="AP87" s="208"/>
      <c r="AQ87" s="119"/>
    </row>
    <row r="88" spans="1:43" s="38" customFormat="1" ht="15" customHeight="1" x14ac:dyDescent="0.2">
      <c r="A88" s="212" t="s">
        <v>83</v>
      </c>
      <c r="B88" s="40"/>
      <c r="C88" s="40"/>
      <c r="D88" s="40"/>
      <c r="E88" s="27"/>
      <c r="F88" s="40"/>
      <c r="G88" s="40"/>
      <c r="H88" s="40"/>
      <c r="I88" s="40"/>
      <c r="J88" s="27"/>
      <c r="K88" s="40"/>
      <c r="L88" s="27"/>
      <c r="M88" s="40"/>
      <c r="N88" s="40"/>
      <c r="O88" s="40"/>
      <c r="P88" s="40"/>
      <c r="Q88" s="27"/>
      <c r="R88" s="40"/>
      <c r="S88" s="27"/>
      <c r="T88" s="27"/>
      <c r="U88" s="40"/>
      <c r="V88" s="40"/>
      <c r="W88" s="40"/>
      <c r="X88" s="27"/>
      <c r="Y88" s="40"/>
      <c r="Z88" s="39"/>
      <c r="AA88" s="40"/>
      <c r="AB88" s="40"/>
      <c r="AC88" s="40"/>
      <c r="AD88" s="40"/>
      <c r="AE88" s="27"/>
      <c r="AF88" s="40"/>
      <c r="AG88" s="205" t="str">
        <f t="shared" si="34"/>
        <v>Work-related accident</v>
      </c>
      <c r="AH88" s="218"/>
      <c r="AI88" s="238">
        <f t="shared" si="32"/>
        <v>0</v>
      </c>
      <c r="AJ88" s="261"/>
      <c r="AK88" s="262"/>
      <c r="AL88" s="245">
        <f ca="1">IF(EB.Anwendung&lt;&gt;"",IF(MONTH(Monat.Tag1)=1,0,IF(MONTH(Monat.Tag1)=2,January!Monat.BUUeVM,IF(MONTH(Monat.Tag1)=3,February!Monat.BUUeVM,IF(MONTH(Monat.Tag1)=4,March!Monat.BUUeVM,IF(MONTH(Monat.Tag1)=5,April!Monat.BUUeVM,IF(MONTH(Monat.Tag1)=6,May!Monat.BUUeVM,IF(MONTH(Monat.Tag1)=7,June!Monat.BUUeVM,IF(MONTH(Monat.Tag1)=8,July!Monat.BUUeVM,IF(MONTH(Monat.Tag1)=9,August!Monat.BUUeVM,IF(MONTH(Monat.Tag1)=10,September!Monat.BUUeVM,IF(MONTH(Monat.Tag1)=11,October!Monat.BUUeVM,IF(MONTH(Monat.Tag1)=12,November!Monat.BUUeVM,"")))))))))))),"")</f>
        <v>0</v>
      </c>
      <c r="AM88" s="209"/>
      <c r="AN88" s="246">
        <f t="shared" ca="1" si="35"/>
        <v>0</v>
      </c>
      <c r="AO88" s="208"/>
      <c r="AP88" s="208"/>
      <c r="AQ88" s="119"/>
    </row>
    <row r="89" spans="1:43" s="38" customFormat="1" ht="15" customHeight="1" x14ac:dyDescent="0.2">
      <c r="A89" s="212" t="s">
        <v>240</v>
      </c>
      <c r="B89" s="40"/>
      <c r="C89" s="40"/>
      <c r="D89" s="40"/>
      <c r="E89" s="27"/>
      <c r="F89" s="40"/>
      <c r="G89" s="40"/>
      <c r="H89" s="40"/>
      <c r="I89" s="40"/>
      <c r="J89" s="27"/>
      <c r="K89" s="40"/>
      <c r="L89" s="27"/>
      <c r="M89" s="40"/>
      <c r="N89" s="40"/>
      <c r="O89" s="40"/>
      <c r="P89" s="40"/>
      <c r="Q89" s="27"/>
      <c r="R89" s="40"/>
      <c r="S89" s="27"/>
      <c r="T89" s="27"/>
      <c r="U89" s="40"/>
      <c r="V89" s="40"/>
      <c r="W89" s="40"/>
      <c r="X89" s="27"/>
      <c r="Y89" s="40"/>
      <c r="Z89" s="39"/>
      <c r="AA89" s="40"/>
      <c r="AB89" s="40"/>
      <c r="AC89" s="40"/>
      <c r="AD89" s="40"/>
      <c r="AE89" s="27"/>
      <c r="AF89" s="40"/>
      <c r="AG89" s="205" t="str">
        <f t="shared" si="34"/>
        <v>Non-work-related accident</v>
      </c>
      <c r="AH89" s="218"/>
      <c r="AI89" s="238">
        <f t="shared" si="32"/>
        <v>0</v>
      </c>
      <c r="AJ89" s="261"/>
      <c r="AK89" s="262"/>
      <c r="AL89" s="245">
        <f ca="1">IF(EB.Anwendung&lt;&gt;"",IF(MONTH(Monat.Tag1)=1,0,IF(MONTH(Monat.Tag1)=2,January!Monat.NBUUeVM,IF(MONTH(Monat.Tag1)=3,February!Monat.NBUUeVM,IF(MONTH(Monat.Tag1)=4,March!Monat.NBUUeVM,IF(MONTH(Monat.Tag1)=5,April!Monat.NBUUeVM,IF(MONTH(Monat.Tag1)=6,May!Monat.NBUUeVM,IF(MONTH(Monat.Tag1)=7,June!Monat.NBUUeVM,IF(MONTH(Monat.Tag1)=8,July!Monat.NBUUeVM,IF(MONTH(Monat.Tag1)=9,August!Monat.NBUUeVM,IF(MONTH(Monat.Tag1)=10,September!Monat.NBUUeVM,IF(MONTH(Monat.Tag1)=11,October!Monat.NBUUeVM,IF(MONTH(Monat.Tag1)=12,November!Monat.NBUUeVM,"")))))))))))),"")</f>
        <v>0</v>
      </c>
      <c r="AM89" s="209"/>
      <c r="AN89" s="246">
        <f t="shared" ca="1" si="35"/>
        <v>0</v>
      </c>
      <c r="AO89" s="208"/>
      <c r="AP89" s="208"/>
      <c r="AQ89" s="119"/>
    </row>
    <row r="90" spans="1:43" s="38" customFormat="1" ht="15" customHeight="1" x14ac:dyDescent="0.2">
      <c r="A90" s="212" t="s">
        <v>84</v>
      </c>
      <c r="B90" s="40"/>
      <c r="C90" s="40"/>
      <c r="D90" s="40"/>
      <c r="E90" s="27"/>
      <c r="F90" s="40"/>
      <c r="G90" s="40"/>
      <c r="H90" s="40"/>
      <c r="I90" s="40"/>
      <c r="J90" s="27"/>
      <c r="K90" s="40"/>
      <c r="L90" s="27"/>
      <c r="M90" s="40"/>
      <c r="N90" s="40"/>
      <c r="O90" s="40"/>
      <c r="P90" s="40"/>
      <c r="Q90" s="27"/>
      <c r="R90" s="40"/>
      <c r="S90" s="27"/>
      <c r="T90" s="27"/>
      <c r="U90" s="40"/>
      <c r="V90" s="40"/>
      <c r="W90" s="40"/>
      <c r="X90" s="27"/>
      <c r="Y90" s="40"/>
      <c r="Z90" s="39"/>
      <c r="AA90" s="40"/>
      <c r="AB90" s="40"/>
      <c r="AC90" s="40"/>
      <c r="AD90" s="40"/>
      <c r="AE90" s="27"/>
      <c r="AF90" s="40"/>
      <c r="AG90" s="205" t="str">
        <f t="shared" si="34"/>
        <v>Military/civilian service</v>
      </c>
      <c r="AH90" s="218"/>
      <c r="AI90" s="238">
        <f t="shared" si="32"/>
        <v>0</v>
      </c>
      <c r="AJ90" s="261"/>
      <c r="AK90" s="262"/>
      <c r="AL90" s="245">
        <f ca="1">IF(EB.Anwendung&lt;&gt;"",IF(MONTH(Monat.Tag1)=1,0,IF(MONTH(Monat.Tag1)=2,January!Monat.MZSUeVM,IF(MONTH(Monat.Tag1)=3,February!Monat.MZSUeVM,IF(MONTH(Monat.Tag1)=4,March!Monat.MZSUeVM,IF(MONTH(Monat.Tag1)=5,April!Monat.MZSUeVM,IF(MONTH(Monat.Tag1)=6,May!Monat.MZSUeVM,IF(MONTH(Monat.Tag1)=7,June!Monat.MZSUeVM,IF(MONTH(Monat.Tag1)=8,July!Monat.MZSUeVM,IF(MONTH(Monat.Tag1)=9,August!Monat.MZSUeVM,IF(MONTH(Monat.Tag1)=10,September!Monat.MZSUeVM,IF(MONTH(Monat.Tag1)=11,October!Monat.MZSUeVM,IF(MONTH(Monat.Tag1)=12,November!Monat.MZSUeVM,"")))))))))))),"")</f>
        <v>0</v>
      </c>
      <c r="AM90" s="209"/>
      <c r="AN90" s="246">
        <f t="shared" ca="1" si="35"/>
        <v>0</v>
      </c>
      <c r="AO90" s="208"/>
      <c r="AP90" s="208"/>
      <c r="AQ90" s="119"/>
    </row>
    <row r="91" spans="1:43" s="38" customFormat="1" ht="15" customHeight="1" x14ac:dyDescent="0.2">
      <c r="A91" s="212" t="s">
        <v>85</v>
      </c>
      <c r="B91" s="40"/>
      <c r="C91" s="40"/>
      <c r="D91" s="40"/>
      <c r="E91" s="27"/>
      <c r="F91" s="40"/>
      <c r="G91" s="40"/>
      <c r="H91" s="40"/>
      <c r="I91" s="40"/>
      <c r="J91" s="27"/>
      <c r="K91" s="40"/>
      <c r="L91" s="27"/>
      <c r="M91" s="40"/>
      <c r="N91" s="40"/>
      <c r="O91" s="40"/>
      <c r="P91" s="40"/>
      <c r="Q91" s="27"/>
      <c r="R91" s="40"/>
      <c r="S91" s="27"/>
      <c r="T91" s="27"/>
      <c r="U91" s="40"/>
      <c r="V91" s="40"/>
      <c r="W91" s="40"/>
      <c r="X91" s="27"/>
      <c r="Y91" s="40"/>
      <c r="Z91" s="39"/>
      <c r="AA91" s="40"/>
      <c r="AB91" s="40"/>
      <c r="AC91" s="40"/>
      <c r="AD91" s="40"/>
      <c r="AE91" s="27"/>
      <c r="AF91" s="40"/>
      <c r="AG91" s="205" t="str">
        <f t="shared" si="34"/>
        <v>Continuing education</v>
      </c>
      <c r="AH91" s="218"/>
      <c r="AI91" s="238">
        <f t="shared" si="32"/>
        <v>0</v>
      </c>
      <c r="AJ91" s="261"/>
      <c r="AK91" s="262"/>
      <c r="AL91" s="245">
        <f ca="1">IF(EB.Anwendung&lt;&gt;"",IF(MONTH(Monat.Tag1)=1,0,IF(MONTH(Monat.Tag1)=2,January!Monat.WBUeVM,IF(MONTH(Monat.Tag1)=3,February!Monat.WBUeVM,IF(MONTH(Monat.Tag1)=4,March!Monat.WBUeVM,IF(MONTH(Monat.Tag1)=5,April!Monat.WBUeVM,IF(MONTH(Monat.Tag1)=6,May!Monat.WBUeVM,IF(MONTH(Monat.Tag1)=7,June!Monat.WBUeVM,IF(MONTH(Monat.Tag1)=8,July!Monat.WBUeVM,IF(MONTH(Monat.Tag1)=9,August!Monat.WBUeVM,IF(MONTH(Monat.Tag1)=10,September!Monat.WBUeVM,IF(MONTH(Monat.Tag1)=11,October!Monat.WBUeVM,IF(MONTH(Monat.Tag1)=12,November!Monat.WBUeVM,"")))))))))))),"")</f>
        <v>0</v>
      </c>
      <c r="AM91" s="209"/>
      <c r="AN91" s="246">
        <f t="shared" ca="1" si="35"/>
        <v>0</v>
      </c>
      <c r="AO91" s="208"/>
      <c r="AP91" s="208"/>
      <c r="AQ91" s="119"/>
    </row>
    <row r="92" spans="1:43" s="38" customFormat="1" ht="15" customHeight="1" x14ac:dyDescent="0.2">
      <c r="A92" s="212" t="s">
        <v>86</v>
      </c>
      <c r="B92" s="40"/>
      <c r="C92" s="40"/>
      <c r="D92" s="40"/>
      <c r="E92" s="27"/>
      <c r="F92" s="40"/>
      <c r="G92" s="40"/>
      <c r="H92" s="40"/>
      <c r="I92" s="40"/>
      <c r="J92" s="27"/>
      <c r="K92" s="40"/>
      <c r="L92" s="27"/>
      <c r="M92" s="40"/>
      <c r="N92" s="40"/>
      <c r="O92" s="40"/>
      <c r="P92" s="40"/>
      <c r="Q92" s="27"/>
      <c r="R92" s="40"/>
      <c r="S92" s="27"/>
      <c r="T92" s="27"/>
      <c r="U92" s="40"/>
      <c r="V92" s="40"/>
      <c r="W92" s="40"/>
      <c r="X92" s="27"/>
      <c r="Y92" s="40"/>
      <c r="Z92" s="39"/>
      <c r="AA92" s="40"/>
      <c r="AB92" s="40"/>
      <c r="AC92" s="40"/>
      <c r="AD92" s="40"/>
      <c r="AE92" s="27"/>
      <c r="AF92" s="40"/>
      <c r="AG92" s="205" t="str">
        <f t="shared" si="34"/>
        <v>Paid leave</v>
      </c>
      <c r="AH92" s="218"/>
      <c r="AI92" s="238">
        <f t="shared" si="32"/>
        <v>0</v>
      </c>
      <c r="AJ92" s="261"/>
      <c r="AK92" s="262"/>
      <c r="AL92" s="245">
        <f ca="1">IF(EB.Anwendung&lt;&gt;"",IF(MONTH(Monat.Tag1)=1,0,IF(MONTH(Monat.Tag1)=2,January!Monat.BesUrlaubUeVM,IF(MONTH(Monat.Tag1)=3,February!Monat.BesUrlaubUeVM,IF(MONTH(Monat.Tag1)=4,March!Monat.BesUrlaubUeVM,IF(MONTH(Monat.Tag1)=5,April!Monat.BesUrlaubUeVM,IF(MONTH(Monat.Tag1)=6,May!Monat.BesUrlaubUeVM,IF(MONTH(Monat.Tag1)=7,June!Monat.BesUrlaubUeVM,IF(MONTH(Monat.Tag1)=8,July!Monat.BesUrlaubUeVM,IF(MONTH(Monat.Tag1)=9,August!Monat.BesUrlaubUeVM,IF(MONTH(Monat.Tag1)=10,September!Monat.BesUrlaubUeVM,IF(MONTH(Monat.Tag1)=11,October!Monat.BesUrlaubUeVM,IF(MONTH(Monat.Tag1)=12,November!Monat.BesUrlaubUeVM,"")))))))))))),"")</f>
        <v>0</v>
      </c>
      <c r="AM92" s="209"/>
      <c r="AN92" s="246">
        <f t="shared" ca="1" si="35"/>
        <v>0</v>
      </c>
      <c r="AO92" s="208"/>
      <c r="AP92" s="208"/>
      <c r="AQ92" s="119"/>
    </row>
    <row r="93" spans="1:43" s="38" customFormat="1" ht="15" customHeight="1" x14ac:dyDescent="0.2">
      <c r="A93" s="212" t="s">
        <v>87</v>
      </c>
      <c r="B93" s="40"/>
      <c r="C93" s="40"/>
      <c r="D93" s="40"/>
      <c r="E93" s="27"/>
      <c r="F93" s="40"/>
      <c r="G93" s="40"/>
      <c r="H93" s="40"/>
      <c r="I93" s="40"/>
      <c r="J93" s="27"/>
      <c r="K93" s="40"/>
      <c r="L93" s="27"/>
      <c r="M93" s="40"/>
      <c r="N93" s="40"/>
      <c r="O93" s="40"/>
      <c r="P93" s="40"/>
      <c r="Q93" s="27"/>
      <c r="R93" s="40"/>
      <c r="S93" s="27"/>
      <c r="T93" s="27"/>
      <c r="U93" s="40"/>
      <c r="V93" s="40"/>
      <c r="W93" s="40"/>
      <c r="X93" s="27"/>
      <c r="Y93" s="40"/>
      <c r="Z93" s="39"/>
      <c r="AA93" s="40"/>
      <c r="AB93" s="40"/>
      <c r="AC93" s="40"/>
      <c r="AD93" s="40"/>
      <c r="AE93" s="27"/>
      <c r="AF93" s="40"/>
      <c r="AG93" s="205" t="str">
        <f t="shared" si="34"/>
        <v>Unpaid leave</v>
      </c>
      <c r="AH93" s="218"/>
      <c r="AI93" s="238">
        <f t="shared" si="32"/>
        <v>0</v>
      </c>
      <c r="AJ93" s="261"/>
      <c r="AK93" s="262"/>
      <c r="AL93" s="245">
        <f ca="1">IF(EB.Anwendung&lt;&gt;"",IF(MONTH(Monat.Tag1)=1,0,IF(MONTH(Monat.Tag1)=2,January!Monat.UnbesUrlaubUeVM,IF(MONTH(Monat.Tag1)=3,February!Monat.UnbesUrlaubUeVM,IF(MONTH(Monat.Tag1)=4,March!Monat.UnbesUrlaubUeVM,IF(MONTH(Monat.Tag1)=5,April!Monat.UnbesUrlaubUeVM,IF(MONTH(Monat.Tag1)=6,May!Monat.UnbesUrlaubUeVM,IF(MONTH(Monat.Tag1)=7,June!Monat.UnbesUrlaubUeVM,IF(MONTH(Monat.Tag1)=8,July!Monat.UnbesUrlaubUeVM,IF(MONTH(Monat.Tag1)=9,August!Monat.UnbesUrlaubUeVM,IF(MONTH(Monat.Tag1)=10,September!Monat.UnbesUrlaubUeVM,IF(MONTH(Monat.Tag1)=11,October!Monat.UnbesUrlaubUeVM,IF(MONTH(Monat.Tag1)=12,November!Monat.UnbesUrlaubUeVM,"")))))))))))),"")</f>
        <v>0</v>
      </c>
      <c r="AM93" s="209"/>
      <c r="AN93" s="246">
        <f t="shared" ca="1" si="35"/>
        <v>0</v>
      </c>
      <c r="AO93" s="208"/>
      <c r="AP93" s="208"/>
      <c r="AQ93" s="119"/>
    </row>
    <row r="94" spans="1:43" s="38" customFormat="1" ht="15" hidden="1" customHeight="1" outlineLevel="1" x14ac:dyDescent="0.2">
      <c r="A94" s="212" t="s">
        <v>120</v>
      </c>
      <c r="B94" s="40"/>
      <c r="C94" s="40"/>
      <c r="D94" s="40"/>
      <c r="E94" s="27"/>
      <c r="F94" s="40"/>
      <c r="G94" s="40"/>
      <c r="H94" s="40"/>
      <c r="I94" s="40"/>
      <c r="J94" s="27"/>
      <c r="K94" s="40"/>
      <c r="L94" s="27"/>
      <c r="M94" s="40"/>
      <c r="N94" s="40"/>
      <c r="O94" s="40"/>
      <c r="P94" s="40"/>
      <c r="Q94" s="27"/>
      <c r="R94" s="40"/>
      <c r="S94" s="27"/>
      <c r="T94" s="27"/>
      <c r="U94" s="40"/>
      <c r="V94" s="40"/>
      <c r="W94" s="40"/>
      <c r="X94" s="27"/>
      <c r="Y94" s="40"/>
      <c r="Z94" s="39"/>
      <c r="AA94" s="40"/>
      <c r="AB94" s="40"/>
      <c r="AC94" s="40"/>
      <c r="AD94" s="40"/>
      <c r="AE94" s="27"/>
      <c r="AF94" s="40"/>
      <c r="AG94" s="205" t="str">
        <f t="shared" si="34"/>
        <v>Secondary employment</v>
      </c>
      <c r="AH94" s="218"/>
      <c r="AI94" s="238">
        <f t="shared" si="32"/>
        <v>0</v>
      </c>
      <c r="AJ94" s="261"/>
      <c r="AK94" s="262"/>
      <c r="AL94" s="245">
        <f ca="1">IF(EB.Anwendung&lt;&gt;"",IF(MONTH(Monat.Tag1)=1,0,IF(MONTH(Monat.Tag1)=2,January!Monat.NBUeVM,IF(MONTH(Monat.Tag1)=3,February!Monat.NBUeVM,IF(MONTH(Monat.Tag1)=4,March!Monat.NBUeVM,IF(MONTH(Monat.Tag1)=5,April!Monat.NBUeVM,IF(MONTH(Monat.Tag1)=6,May!Monat.NBUeVM,IF(MONTH(Monat.Tag1)=7,June!Monat.NBUeVM,IF(MONTH(Monat.Tag1)=8,July!Monat.NBUeVM,IF(MONTH(Monat.Tag1)=9,August!Monat.NBUeVM,IF(MONTH(Monat.Tag1)=10,September!Monat.NBUeVM,IF(MONTH(Monat.Tag1)=11,October!Monat.NBUeVM,IF(MONTH(Monat.Tag1)=12,November!Monat.NBUeVM,"")))))))))))),"")</f>
        <v>0</v>
      </c>
      <c r="AM94" s="209"/>
      <c r="AN94" s="246">
        <f t="shared" ca="1" si="35"/>
        <v>0</v>
      </c>
      <c r="AO94" s="208"/>
      <c r="AP94" s="208"/>
      <c r="AQ94" s="119"/>
    </row>
    <row r="95" spans="1:43" s="38" customFormat="1" ht="15" customHeight="1" collapsed="1" x14ac:dyDescent="0.2">
      <c r="A95" s="212" t="s">
        <v>56</v>
      </c>
      <c r="B95" s="40"/>
      <c r="C95" s="40"/>
      <c r="D95" s="40"/>
      <c r="E95" s="27"/>
      <c r="F95" s="40"/>
      <c r="G95" s="40"/>
      <c r="H95" s="40"/>
      <c r="I95" s="40"/>
      <c r="J95" s="27"/>
      <c r="K95" s="40"/>
      <c r="L95" s="27"/>
      <c r="M95" s="40"/>
      <c r="N95" s="40"/>
      <c r="O95" s="40"/>
      <c r="P95" s="40"/>
      <c r="Q95" s="27"/>
      <c r="R95" s="40"/>
      <c r="S95" s="27"/>
      <c r="T95" s="27"/>
      <c r="U95" s="40"/>
      <c r="V95" s="40"/>
      <c r="W95" s="40"/>
      <c r="X95" s="27"/>
      <c r="Y95" s="40"/>
      <c r="Z95" s="39"/>
      <c r="AA95" s="40"/>
      <c r="AB95" s="40"/>
      <c r="AC95" s="40"/>
      <c r="AD95" s="40"/>
      <c r="AE95" s="27"/>
      <c r="AF95" s="40"/>
      <c r="AG95" s="205" t="str">
        <f t="shared" si="34"/>
        <v>Seniority allowance</v>
      </c>
      <c r="AH95" s="218"/>
      <c r="AI95" s="238">
        <f t="shared" si="32"/>
        <v>0</v>
      </c>
      <c r="AJ95" s="261"/>
      <c r="AK95" s="262"/>
      <c r="AL95" s="245">
        <f ca="1">IF(EB.Anwendung&lt;&gt;"",IF(MONTH(Monat.Tag1)=1,EB.DAG,IF(MONTH(Monat.Tag1)=2,January!Monat.DAGUeVM,IF(MONTH(Monat.Tag1)=3,February!Monat.DAGUeVM,IF(MONTH(Monat.Tag1)=4,March!Monat.DAGUeVM,IF(MONTH(Monat.Tag1)=5,April!Monat.DAGUeVM,IF(MONTH(Monat.Tag1)=6,May!Monat.DAGUeVM,IF(MONTH(Monat.Tag1)=7,June!Monat.DAGUeVM,IF(MONTH(Monat.Tag1)=8,July!Monat.DAGUeVM,IF(MONTH(Monat.Tag1)=9,August!Monat.DAGUeVM,IF(MONTH(Monat.Tag1)=10,September!Monat.DAGUeVM,IF(MONTH(Monat.Tag1)=11,October!Monat.DAGUeVM,IF(MONTH(Monat.Tag1)=12,November!Monat.DAGUeVM,"")))))))))))),"")</f>
        <v>0</v>
      </c>
      <c r="AM95" s="209"/>
      <c r="AN95" s="246">
        <f ca="1">AL95-AI95</f>
        <v>0</v>
      </c>
      <c r="AO95" s="208"/>
      <c r="AP95" s="208"/>
      <c r="AQ95" s="119"/>
    </row>
    <row r="96" spans="1:43" s="38" customFormat="1" ht="11.25" customHeight="1" x14ac:dyDescent="0.2">
      <c r="A96" s="220"/>
      <c r="B96" s="223"/>
      <c r="C96" s="223"/>
      <c r="D96" s="223"/>
      <c r="E96" s="223"/>
      <c r="F96" s="223"/>
      <c r="G96" s="223"/>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23"/>
      <c r="AF96" s="224"/>
      <c r="AG96" s="205"/>
      <c r="AH96" s="228"/>
      <c r="AI96" s="224"/>
      <c r="AJ96" s="278"/>
      <c r="AK96" s="262"/>
      <c r="AL96" s="262"/>
      <c r="AM96" s="209"/>
      <c r="AN96" s="279"/>
      <c r="AO96" s="213"/>
      <c r="AP96" s="213"/>
      <c r="AQ96" s="119"/>
    </row>
    <row r="97" spans="1:43" s="38" customFormat="1" ht="15" customHeight="1" x14ac:dyDescent="0.2">
      <c r="A97" s="215" t="str">
        <f t="shared" ref="A97:A111" ca="1" si="36">IF(ROW(A97)-ROW(INDEX(Monat.Projekte.Zeilen,1))+1&gt;EB.AnzProjekte,"",OFFSET(EB.Projekte.Knoten,ROW(A97)-ROW(INDEX(Monat.Projekte.Zeilen,1))+1,0,1,1))</f>
        <v/>
      </c>
      <c r="B97" s="40"/>
      <c r="C97" s="40"/>
      <c r="D97" s="40"/>
      <c r="E97" s="27"/>
      <c r="F97" s="40"/>
      <c r="G97" s="40"/>
      <c r="H97" s="40"/>
      <c r="I97" s="40"/>
      <c r="J97" s="27"/>
      <c r="K97" s="40"/>
      <c r="L97" s="27"/>
      <c r="M97" s="40"/>
      <c r="N97" s="40"/>
      <c r="O97" s="40"/>
      <c r="P97" s="40"/>
      <c r="Q97" s="27"/>
      <c r="R97" s="40"/>
      <c r="S97" s="27"/>
      <c r="T97" s="27"/>
      <c r="U97" s="40"/>
      <c r="V97" s="40"/>
      <c r="W97" s="40"/>
      <c r="X97" s="27"/>
      <c r="Y97" s="40"/>
      <c r="Z97" s="39"/>
      <c r="AA97" s="40"/>
      <c r="AB97" s="40"/>
      <c r="AC97" s="40"/>
      <c r="AD97" s="40"/>
      <c r="AE97" s="27"/>
      <c r="AF97" s="40"/>
      <c r="AG97" s="205" t="str">
        <f t="shared" ca="1" si="34"/>
        <v/>
      </c>
      <c r="AH97" s="233"/>
      <c r="AI97" s="285">
        <f>SUM(B97:AF97)</f>
        <v>0</v>
      </c>
      <c r="AJ97" s="261"/>
      <c r="AK97" s="224"/>
      <c r="AL97" s="245">
        <f ca="1">IF(EB.Anwendung&lt;&gt;"",IF(MONTH(Monat.Tag1)=1,0,IF(MONTH(Monat.Tag1)=2,January!Monat.P1UeVM,IF(MONTH(Monat.Tag1)=3,February!Monat.P1UeVM,IF(MONTH(Monat.Tag1)=4,March!Monat.P1UeVM,IF(MONTH(Monat.Tag1)=5,April!Monat.P1UeVM,IF(MONTH(Monat.Tag1)=6,May!Monat.P1UeVM,IF(MONTH(Monat.Tag1)=7,June!Monat.P1UeVM,IF(MONTH(Monat.Tag1)=8,July!Monat.P1UeVM,IF(MONTH(Monat.Tag1)=9,August!Monat.P1UeVM,IF(MONTH(Monat.Tag1)=10,September!Monat.P1UeVM,IF(MONTH(Monat.Tag1)=11,October!Monat.P1UeVM,IF(MONTH(Monat.Tag1)=12,November!Monat.P1UeVM,"")))))))))))),"")</f>
        <v>0</v>
      </c>
      <c r="AM97" s="209"/>
      <c r="AN97" s="246">
        <f t="shared" ref="AN97:AN112" ca="1" si="37">AI97+AL97</f>
        <v>0</v>
      </c>
      <c r="AO97" s="208"/>
      <c r="AP97" s="208"/>
      <c r="AQ97" s="119"/>
    </row>
    <row r="98" spans="1:43" s="38" customFormat="1" ht="15" customHeight="1" x14ac:dyDescent="0.2">
      <c r="A98" s="215" t="str">
        <f t="shared" ca="1" si="36"/>
        <v/>
      </c>
      <c r="B98" s="40"/>
      <c r="C98" s="40"/>
      <c r="D98" s="40"/>
      <c r="E98" s="27"/>
      <c r="F98" s="40"/>
      <c r="G98" s="40"/>
      <c r="H98" s="40"/>
      <c r="I98" s="40"/>
      <c r="J98" s="27"/>
      <c r="K98" s="40"/>
      <c r="L98" s="27"/>
      <c r="M98" s="40"/>
      <c r="N98" s="40"/>
      <c r="O98" s="40"/>
      <c r="P98" s="40"/>
      <c r="Q98" s="27"/>
      <c r="R98" s="40"/>
      <c r="S98" s="27"/>
      <c r="T98" s="27"/>
      <c r="U98" s="40"/>
      <c r="V98" s="40"/>
      <c r="W98" s="40"/>
      <c r="X98" s="27"/>
      <c r="Y98" s="40"/>
      <c r="Z98" s="39"/>
      <c r="AA98" s="40"/>
      <c r="AB98" s="40"/>
      <c r="AC98" s="40"/>
      <c r="AD98" s="40"/>
      <c r="AE98" s="27"/>
      <c r="AF98" s="40"/>
      <c r="AG98" s="205" t="str">
        <f t="shared" ca="1" si="34"/>
        <v/>
      </c>
      <c r="AH98" s="218"/>
      <c r="AI98" s="238">
        <f>SUM(B98:AF98)</f>
        <v>0</v>
      </c>
      <c r="AJ98" s="261"/>
      <c r="AK98" s="224"/>
      <c r="AL98" s="245">
        <f ca="1">IF(EB.Anwendung&lt;&gt;"",IF(MONTH(Monat.Tag1)=1,0,IF(MONTH(Monat.Tag1)=2,January!Monat.P2UeVM,IF(MONTH(Monat.Tag1)=3,February!Monat.P2UeVM,IF(MONTH(Monat.Tag1)=4,March!Monat.P2UeVM,IF(MONTH(Monat.Tag1)=5,April!Monat.P2UeVM,IF(MONTH(Monat.Tag1)=6,May!Monat.P2UeVM,IF(MONTH(Monat.Tag1)=7,June!Monat.P2UeVM,IF(MONTH(Monat.Tag1)=8,July!Monat.P2UeVM,IF(MONTH(Monat.Tag1)=9,August!Monat.P2UeVM,IF(MONTH(Monat.Tag1)=10,September!Monat.P2UeVM,IF(MONTH(Monat.Tag1)=11,October!Monat.P2UeVM,IF(MONTH(Monat.Tag1)=12,November!Monat.P2UeVM,"")))))))))))),"")</f>
        <v>0</v>
      </c>
      <c r="AM98" s="209"/>
      <c r="AN98" s="246">
        <f t="shared" ca="1" si="37"/>
        <v>0</v>
      </c>
      <c r="AO98" s="208"/>
      <c r="AP98" s="208"/>
      <c r="AQ98" s="119"/>
    </row>
    <row r="99" spans="1:43" s="38" customFormat="1" ht="15" customHeight="1" x14ac:dyDescent="0.2">
      <c r="A99" s="215" t="str">
        <f t="shared" ca="1" si="36"/>
        <v/>
      </c>
      <c r="B99" s="40"/>
      <c r="C99" s="40"/>
      <c r="D99" s="40"/>
      <c r="E99" s="27"/>
      <c r="F99" s="40"/>
      <c r="G99" s="40"/>
      <c r="H99" s="40"/>
      <c r="I99" s="40"/>
      <c r="J99" s="27"/>
      <c r="K99" s="40"/>
      <c r="L99" s="27"/>
      <c r="M99" s="40"/>
      <c r="N99" s="40"/>
      <c r="O99" s="40"/>
      <c r="P99" s="40"/>
      <c r="Q99" s="27"/>
      <c r="R99" s="40"/>
      <c r="S99" s="27"/>
      <c r="T99" s="27"/>
      <c r="U99" s="40"/>
      <c r="V99" s="40"/>
      <c r="W99" s="40"/>
      <c r="X99" s="27"/>
      <c r="Y99" s="40"/>
      <c r="Z99" s="39"/>
      <c r="AA99" s="40"/>
      <c r="AB99" s="40"/>
      <c r="AC99" s="40"/>
      <c r="AD99" s="40"/>
      <c r="AE99" s="27"/>
      <c r="AF99" s="40"/>
      <c r="AG99" s="205" t="str">
        <f t="shared" ca="1" si="34"/>
        <v/>
      </c>
      <c r="AH99" s="286"/>
      <c r="AI99" s="238">
        <f>SUM(B99:AF99)</f>
        <v>0</v>
      </c>
      <c r="AJ99" s="261"/>
      <c r="AK99" s="224"/>
      <c r="AL99" s="245">
        <f ca="1">IF(EB.Anwendung&lt;&gt;"",IF(MONTH(Monat.Tag1)=1,0,IF(MONTH(Monat.Tag1)=2,January!Monat.P3UeVM,IF(MONTH(Monat.Tag1)=3,February!Monat.P3UeVM,IF(MONTH(Monat.Tag1)=4,March!Monat.P3UeVM,IF(MONTH(Monat.Tag1)=5,April!Monat.P3UeVM,IF(MONTH(Monat.Tag1)=6,May!Monat.P3UeVM,IF(MONTH(Monat.Tag1)=7,June!Monat.P3UeVM,IF(MONTH(Monat.Tag1)=8,July!Monat.P3UeVM,IF(MONTH(Monat.Tag1)=9,August!Monat.P3UeVM,IF(MONTH(Monat.Tag1)=10,September!Monat.P3UeVM,IF(MONTH(Monat.Tag1)=11,October!Monat.P3UeVM,IF(MONTH(Monat.Tag1)=12,November!Monat.P3UeVM,"")))))))))))),"")</f>
        <v>0</v>
      </c>
      <c r="AM99" s="209"/>
      <c r="AN99" s="246">
        <f t="shared" ca="1" si="37"/>
        <v>0</v>
      </c>
      <c r="AO99" s="208"/>
      <c r="AP99" s="208"/>
      <c r="AQ99" s="119"/>
    </row>
    <row r="100" spans="1:43" s="38" customFormat="1" ht="15" customHeight="1" x14ac:dyDescent="0.2">
      <c r="A100" s="215" t="str">
        <f t="shared" ca="1" si="36"/>
        <v/>
      </c>
      <c r="B100" s="40"/>
      <c r="C100" s="40"/>
      <c r="D100" s="40"/>
      <c r="E100" s="27"/>
      <c r="F100" s="40"/>
      <c r="G100" s="40"/>
      <c r="H100" s="40"/>
      <c r="I100" s="40"/>
      <c r="J100" s="27"/>
      <c r="K100" s="40"/>
      <c r="L100" s="27"/>
      <c r="M100" s="40"/>
      <c r="N100" s="40"/>
      <c r="O100" s="40"/>
      <c r="P100" s="40"/>
      <c r="Q100" s="27"/>
      <c r="R100" s="40"/>
      <c r="S100" s="27"/>
      <c r="T100" s="27"/>
      <c r="U100" s="40"/>
      <c r="V100" s="40"/>
      <c r="W100" s="40"/>
      <c r="X100" s="27"/>
      <c r="Y100" s="40"/>
      <c r="Z100" s="39"/>
      <c r="AA100" s="40"/>
      <c r="AB100" s="40"/>
      <c r="AC100" s="40"/>
      <c r="AD100" s="40"/>
      <c r="AE100" s="27"/>
      <c r="AF100" s="40"/>
      <c r="AG100" s="205" t="str">
        <f t="shared" ca="1" si="34"/>
        <v/>
      </c>
      <c r="AH100" s="228"/>
      <c r="AI100" s="238">
        <f t="shared" ref="AI100:AI112" si="38">SUM(B100:AF100)</f>
        <v>0</v>
      </c>
      <c r="AJ100" s="261"/>
      <c r="AK100" s="224"/>
      <c r="AL100" s="245">
        <f ca="1">IF(EB.Anwendung&lt;&gt;"",IF(MONTH(Monat.Tag1)=1,0,IF(MONTH(Monat.Tag1)=2,January!Monat.P4UeVM,IF(MONTH(Monat.Tag1)=3,February!Monat.P4UeVM,IF(MONTH(Monat.Tag1)=4,March!Monat.P4UeVM,IF(MONTH(Monat.Tag1)=5,April!Monat.P4UeVM,IF(MONTH(Monat.Tag1)=6,May!Monat.P4UeVM,IF(MONTH(Monat.Tag1)=7,June!Monat.P4UeVM,IF(MONTH(Monat.Tag1)=8,July!Monat.P4UeVM,IF(MONTH(Monat.Tag1)=9,August!Monat.P4UeVM,IF(MONTH(Monat.Tag1)=10,September!Monat.P4UeVM,IF(MONTH(Monat.Tag1)=11,October!Monat.P4UeVM,IF(MONTH(Monat.Tag1)=12,November!Monat.P4UeVM,"")))))))))))),"")</f>
        <v>0</v>
      </c>
      <c r="AM100" s="209"/>
      <c r="AN100" s="246">
        <f t="shared" ca="1" si="37"/>
        <v>0</v>
      </c>
      <c r="AO100" s="208"/>
      <c r="AP100" s="208"/>
      <c r="AQ100" s="119"/>
    </row>
    <row r="101" spans="1:43" s="38" customFormat="1" ht="15" customHeight="1" x14ac:dyDescent="0.2">
      <c r="A101" s="215" t="str">
        <f t="shared" ca="1" si="36"/>
        <v/>
      </c>
      <c r="B101" s="40"/>
      <c r="C101" s="40"/>
      <c r="D101" s="40"/>
      <c r="E101" s="27"/>
      <c r="F101" s="40"/>
      <c r="G101" s="40"/>
      <c r="H101" s="40"/>
      <c r="I101" s="40"/>
      <c r="J101" s="27"/>
      <c r="K101" s="40"/>
      <c r="L101" s="27"/>
      <c r="M101" s="40"/>
      <c r="N101" s="40"/>
      <c r="O101" s="40"/>
      <c r="P101" s="40"/>
      <c r="Q101" s="27"/>
      <c r="R101" s="40"/>
      <c r="S101" s="27"/>
      <c r="T101" s="27"/>
      <c r="U101" s="40"/>
      <c r="V101" s="40"/>
      <c r="W101" s="40"/>
      <c r="X101" s="27"/>
      <c r="Y101" s="40"/>
      <c r="Z101" s="39"/>
      <c r="AA101" s="40"/>
      <c r="AB101" s="40"/>
      <c r="AC101" s="40"/>
      <c r="AD101" s="40"/>
      <c r="AE101" s="27"/>
      <c r="AF101" s="40"/>
      <c r="AG101" s="205" t="str">
        <f t="shared" ca="1" si="34"/>
        <v/>
      </c>
      <c r="AH101" s="218"/>
      <c r="AI101" s="238">
        <f t="shared" si="38"/>
        <v>0</v>
      </c>
      <c r="AJ101" s="261"/>
      <c r="AK101" s="224"/>
      <c r="AL101" s="245">
        <f ca="1">IF(EB.Anwendung&lt;&gt;"",IF(MONTH(Monat.Tag1)=1,0,IF(MONTH(Monat.Tag1)=2,January!Monat.P5UeVM,IF(MONTH(Monat.Tag1)=3,February!Monat.P5UeVM,IF(MONTH(Monat.Tag1)=4,March!Monat.P5UeVM,IF(MONTH(Monat.Tag1)=5,April!Monat.P5UeVM,IF(MONTH(Monat.Tag1)=6,May!Monat.P5UeVM,IF(MONTH(Monat.Tag1)=7,June!Monat.P5UeVM,IF(MONTH(Monat.Tag1)=8,July!Monat.P5UeVM,IF(MONTH(Monat.Tag1)=9,August!Monat.P5UeVM,IF(MONTH(Monat.Tag1)=10,September!Monat.P5UeVM,IF(MONTH(Monat.Tag1)=11,October!Monat.P5UeVM,IF(MONTH(Monat.Tag1)=12,November!Monat.P5UeVM,"")))))))))))),"")</f>
        <v>0</v>
      </c>
      <c r="AM101" s="209"/>
      <c r="AN101" s="246">
        <f t="shared" ca="1" si="37"/>
        <v>0</v>
      </c>
      <c r="AO101" s="208"/>
      <c r="AP101" s="208"/>
      <c r="AQ101" s="119"/>
    </row>
    <row r="102" spans="1:43" s="38" customFormat="1" ht="15" hidden="1" customHeight="1" outlineLevel="1" x14ac:dyDescent="0.2">
      <c r="A102" s="215" t="str">
        <f t="shared" ca="1" si="36"/>
        <v/>
      </c>
      <c r="B102" s="40"/>
      <c r="C102" s="40"/>
      <c r="D102" s="40"/>
      <c r="E102" s="27"/>
      <c r="F102" s="40"/>
      <c r="G102" s="40"/>
      <c r="H102" s="40"/>
      <c r="I102" s="40"/>
      <c r="J102" s="27"/>
      <c r="K102" s="40"/>
      <c r="L102" s="27"/>
      <c r="M102" s="40"/>
      <c r="N102" s="40"/>
      <c r="O102" s="40"/>
      <c r="P102" s="40"/>
      <c r="Q102" s="27"/>
      <c r="R102" s="40"/>
      <c r="S102" s="27"/>
      <c r="T102" s="27"/>
      <c r="U102" s="40"/>
      <c r="V102" s="40"/>
      <c r="W102" s="40"/>
      <c r="X102" s="27"/>
      <c r="Y102" s="40"/>
      <c r="Z102" s="39"/>
      <c r="AA102" s="40"/>
      <c r="AB102" s="40"/>
      <c r="AC102" s="40"/>
      <c r="AD102" s="40"/>
      <c r="AE102" s="27"/>
      <c r="AF102" s="40"/>
      <c r="AG102" s="205" t="str">
        <f t="shared" ca="1" si="34"/>
        <v/>
      </c>
      <c r="AH102" s="286"/>
      <c r="AI102" s="238">
        <f t="shared" si="38"/>
        <v>0</v>
      </c>
      <c r="AJ102" s="261"/>
      <c r="AK102" s="224"/>
      <c r="AL102" s="245">
        <f ca="1">IF(EB.Anwendung&lt;&gt;"",IF(MONTH(Monat.Tag1)=1,0,IF(MONTH(Monat.Tag1)=2,January!Monat.P6UeVM,IF(MONTH(Monat.Tag1)=3,February!Monat.P6UeVM,IF(MONTH(Monat.Tag1)=4,March!Monat.P6UeVM,IF(MONTH(Monat.Tag1)=5,April!Monat.P6UeVM,IF(MONTH(Monat.Tag1)=6,May!Monat.P6UeVM,IF(MONTH(Monat.Tag1)=7,June!Monat.P6UeVM,IF(MONTH(Monat.Tag1)=8,July!Monat.P6UeVM,IF(MONTH(Monat.Tag1)=9,August!Monat.P6UeVM,IF(MONTH(Monat.Tag1)=10,September!Monat.P6UeVM,IF(MONTH(Monat.Tag1)=11,October!Monat.P6UeVM,IF(MONTH(Monat.Tag1)=12,November!Monat.P6UeVM,"")))))))))))),"")</f>
        <v>0</v>
      </c>
      <c r="AM102" s="209"/>
      <c r="AN102" s="246">
        <f t="shared" ca="1" si="37"/>
        <v>0</v>
      </c>
      <c r="AO102" s="208"/>
      <c r="AP102" s="208"/>
      <c r="AQ102" s="119"/>
    </row>
    <row r="103" spans="1:43" s="38" customFormat="1" ht="15" hidden="1" customHeight="1" outlineLevel="1" x14ac:dyDescent="0.2">
      <c r="A103" s="215" t="str">
        <f t="shared" ca="1" si="36"/>
        <v/>
      </c>
      <c r="B103" s="40"/>
      <c r="C103" s="40"/>
      <c r="D103" s="40"/>
      <c r="E103" s="27"/>
      <c r="F103" s="40"/>
      <c r="G103" s="40"/>
      <c r="H103" s="40"/>
      <c r="I103" s="40"/>
      <c r="J103" s="27"/>
      <c r="K103" s="40"/>
      <c r="L103" s="27"/>
      <c r="M103" s="40"/>
      <c r="N103" s="40"/>
      <c r="O103" s="40"/>
      <c r="P103" s="40"/>
      <c r="Q103" s="27"/>
      <c r="R103" s="40"/>
      <c r="S103" s="27"/>
      <c r="T103" s="27"/>
      <c r="U103" s="40"/>
      <c r="V103" s="40"/>
      <c r="W103" s="40"/>
      <c r="X103" s="27"/>
      <c r="Y103" s="40"/>
      <c r="Z103" s="39"/>
      <c r="AA103" s="40"/>
      <c r="AB103" s="40"/>
      <c r="AC103" s="40"/>
      <c r="AD103" s="40"/>
      <c r="AE103" s="27"/>
      <c r="AF103" s="40"/>
      <c r="AG103" s="205" t="str">
        <f ca="1">A103</f>
        <v/>
      </c>
      <c r="AH103" s="228"/>
      <c r="AI103" s="238">
        <f>SUM(B103:AF103)</f>
        <v>0</v>
      </c>
      <c r="AJ103" s="261"/>
      <c r="AK103" s="224"/>
      <c r="AL103" s="245">
        <f ca="1">IF(EB.Anwendung&lt;&gt;"",IF(MONTH(Monat.Tag1)=1,0,IF(MONTH(Monat.Tag1)=2,January!Monat.P7UeVM,IF(MONTH(Monat.Tag1)=3,February!Monat.P7UeVM,IF(MONTH(Monat.Tag1)=4,March!Monat.P7UeVM,IF(MONTH(Monat.Tag1)=5,April!Monat.P7UeVM,IF(MONTH(Monat.Tag1)=6,May!Monat.P7UeVM,IF(MONTH(Monat.Tag1)=7,June!Monat.P7UeVM,IF(MONTH(Monat.Tag1)=8,July!Monat.P7UeVM,IF(MONTH(Monat.Tag1)=9,August!Monat.P7UeVM,IF(MONTH(Monat.Tag1)=10,September!Monat.P7UeVM,IF(MONTH(Monat.Tag1)=11,October!Monat.P7UeVM,IF(MONTH(Monat.Tag1)=12,November!Monat.P7UeVM,"")))))))))))),"")</f>
        <v>0</v>
      </c>
      <c r="AM103" s="209"/>
      <c r="AN103" s="246">
        <f t="shared" ca="1" si="37"/>
        <v>0</v>
      </c>
      <c r="AO103" s="208"/>
      <c r="AP103" s="208"/>
      <c r="AQ103" s="119"/>
    </row>
    <row r="104" spans="1:43" s="38" customFormat="1" ht="15" hidden="1" customHeight="1" outlineLevel="1" x14ac:dyDescent="0.2">
      <c r="A104" s="215" t="str">
        <f t="shared" ca="1" si="36"/>
        <v/>
      </c>
      <c r="B104" s="40"/>
      <c r="C104" s="40"/>
      <c r="D104" s="40"/>
      <c r="E104" s="27"/>
      <c r="F104" s="40"/>
      <c r="G104" s="40"/>
      <c r="H104" s="40"/>
      <c r="I104" s="40"/>
      <c r="J104" s="27"/>
      <c r="K104" s="40"/>
      <c r="L104" s="27"/>
      <c r="M104" s="40"/>
      <c r="N104" s="40"/>
      <c r="O104" s="40"/>
      <c r="P104" s="40"/>
      <c r="Q104" s="27"/>
      <c r="R104" s="40"/>
      <c r="S104" s="27"/>
      <c r="T104" s="27"/>
      <c r="U104" s="40"/>
      <c r="V104" s="40"/>
      <c r="W104" s="40"/>
      <c r="X104" s="27"/>
      <c r="Y104" s="40"/>
      <c r="Z104" s="39"/>
      <c r="AA104" s="40"/>
      <c r="AB104" s="40"/>
      <c r="AC104" s="40"/>
      <c r="AD104" s="40"/>
      <c r="AE104" s="27"/>
      <c r="AF104" s="40"/>
      <c r="AG104" s="205" t="str">
        <f t="shared" ca="1" si="34"/>
        <v/>
      </c>
      <c r="AH104" s="233"/>
      <c r="AI104" s="238">
        <f t="shared" si="38"/>
        <v>0</v>
      </c>
      <c r="AJ104" s="261"/>
      <c r="AK104" s="224"/>
      <c r="AL104" s="245">
        <f ca="1">IF(EB.Anwendung&lt;&gt;"",IF(MONTH(Monat.Tag1)=1,0,IF(MONTH(Monat.Tag1)=2,January!Monat.P8UeVM,IF(MONTH(Monat.Tag1)=3,February!Monat.P8UeVM,IF(MONTH(Monat.Tag1)=4,March!Monat.P8UeVM,IF(MONTH(Monat.Tag1)=5,April!Monat.P8UeVM,IF(MONTH(Monat.Tag1)=6,May!Monat.P8UeVM,IF(MONTH(Monat.Tag1)=7,June!Monat.P8UeVM,IF(MONTH(Monat.Tag1)=8,July!Monat.P8UeVM,IF(MONTH(Monat.Tag1)=9,August!Monat.P8UeVM,IF(MONTH(Monat.Tag1)=10,September!Monat.P8UeVM,IF(MONTH(Monat.Tag1)=11,October!Monat.P8UeVM,IF(MONTH(Monat.Tag1)=12,November!Monat.P8UeVM,"")))))))))))),"")</f>
        <v>0</v>
      </c>
      <c r="AM104" s="209"/>
      <c r="AN104" s="246">
        <f t="shared" ca="1" si="37"/>
        <v>0</v>
      </c>
      <c r="AO104" s="208"/>
      <c r="AP104" s="208"/>
      <c r="AQ104" s="119"/>
    </row>
    <row r="105" spans="1:43" s="38" customFormat="1" ht="15" hidden="1" customHeight="1" outlineLevel="1" x14ac:dyDescent="0.2">
      <c r="A105" s="215" t="str">
        <f t="shared" ca="1" si="36"/>
        <v/>
      </c>
      <c r="B105" s="40"/>
      <c r="C105" s="40"/>
      <c r="D105" s="40"/>
      <c r="E105" s="27"/>
      <c r="F105" s="40"/>
      <c r="G105" s="40"/>
      <c r="H105" s="40"/>
      <c r="I105" s="40"/>
      <c r="J105" s="27"/>
      <c r="K105" s="40"/>
      <c r="L105" s="27"/>
      <c r="M105" s="40"/>
      <c r="N105" s="40"/>
      <c r="O105" s="40"/>
      <c r="P105" s="40"/>
      <c r="Q105" s="27"/>
      <c r="R105" s="40"/>
      <c r="S105" s="27"/>
      <c r="T105" s="27"/>
      <c r="U105" s="40"/>
      <c r="V105" s="40"/>
      <c r="W105" s="40"/>
      <c r="X105" s="27"/>
      <c r="Y105" s="40"/>
      <c r="Z105" s="39"/>
      <c r="AA105" s="40"/>
      <c r="AB105" s="40"/>
      <c r="AC105" s="40"/>
      <c r="AD105" s="40"/>
      <c r="AE105" s="27"/>
      <c r="AF105" s="40"/>
      <c r="AG105" s="205" t="str">
        <f t="shared" ca="1" si="34"/>
        <v/>
      </c>
      <c r="AH105" s="218"/>
      <c r="AI105" s="238">
        <f t="shared" si="38"/>
        <v>0</v>
      </c>
      <c r="AJ105" s="261"/>
      <c r="AK105" s="224"/>
      <c r="AL105" s="245">
        <f ca="1">IF(EB.Anwendung&lt;&gt;"",IF(MONTH(Monat.Tag1)=1,0,IF(MONTH(Monat.Tag1)=2,January!Monat.P9UeVM,IF(MONTH(Monat.Tag1)=3,February!Monat.P9UeVM,IF(MONTH(Monat.Tag1)=4,March!Monat.P9UeVM,IF(MONTH(Monat.Tag1)=5,April!Monat.P9UeVM,IF(MONTH(Monat.Tag1)=6,May!Monat.P9UeVM,IF(MONTH(Monat.Tag1)=7,June!Monat.P9UeVM,IF(MONTH(Monat.Tag1)=8,July!Monat.P9UeVM,IF(MONTH(Monat.Tag1)=9,August!Monat.P9UeVM,IF(MONTH(Monat.Tag1)=10,September!Monat.P9UeVM,IF(MONTH(Monat.Tag1)=11,October!Monat.P9UeVM,IF(MONTH(Monat.Tag1)=12,November!Monat.P9UeVM,"")))))))))))),"")</f>
        <v>0</v>
      </c>
      <c r="AM105" s="209"/>
      <c r="AN105" s="246">
        <f t="shared" ca="1" si="37"/>
        <v>0</v>
      </c>
      <c r="AO105" s="208"/>
      <c r="AP105" s="208"/>
      <c r="AQ105" s="119"/>
    </row>
    <row r="106" spans="1:43" s="38" customFormat="1" ht="15" hidden="1" customHeight="1" outlineLevel="1" x14ac:dyDescent="0.2">
      <c r="A106" s="215" t="str">
        <f t="shared" ca="1" si="36"/>
        <v/>
      </c>
      <c r="B106" s="40"/>
      <c r="C106" s="40"/>
      <c r="D106" s="40"/>
      <c r="E106" s="27"/>
      <c r="F106" s="40"/>
      <c r="G106" s="40"/>
      <c r="H106" s="40"/>
      <c r="I106" s="40"/>
      <c r="J106" s="27"/>
      <c r="K106" s="40"/>
      <c r="L106" s="27"/>
      <c r="M106" s="40"/>
      <c r="N106" s="40"/>
      <c r="O106" s="40"/>
      <c r="P106" s="40"/>
      <c r="Q106" s="27"/>
      <c r="R106" s="40"/>
      <c r="S106" s="27"/>
      <c r="T106" s="27"/>
      <c r="U106" s="40"/>
      <c r="V106" s="40"/>
      <c r="W106" s="40"/>
      <c r="X106" s="27"/>
      <c r="Y106" s="40"/>
      <c r="Z106" s="39"/>
      <c r="AA106" s="40"/>
      <c r="AB106" s="40"/>
      <c r="AC106" s="40"/>
      <c r="AD106" s="40"/>
      <c r="AE106" s="27"/>
      <c r="AF106" s="40"/>
      <c r="AG106" s="205" t="str">
        <f t="shared" ca="1" si="34"/>
        <v/>
      </c>
      <c r="AH106" s="218"/>
      <c r="AI106" s="238">
        <f t="shared" si="38"/>
        <v>0</v>
      </c>
      <c r="AJ106" s="261"/>
      <c r="AK106" s="224"/>
      <c r="AL106" s="245">
        <f ca="1">IF(EB.Anwendung&lt;&gt;"",IF(MONTH(Monat.Tag1)=1,0,IF(MONTH(Monat.Tag1)=2,January!Monat.P10UeVM,IF(MONTH(Monat.Tag1)=3,February!Monat.P10UeVM,IF(MONTH(Monat.Tag1)=4,March!Monat.P10UeVM,IF(MONTH(Monat.Tag1)=5,April!Monat.P10UeVM,IF(MONTH(Monat.Tag1)=6,May!Monat.P10UeVM,IF(MONTH(Monat.Tag1)=7,June!Monat.P10UeVM,IF(MONTH(Monat.Tag1)=8,July!Monat.P10UeVM,IF(MONTH(Monat.Tag1)=9,August!Monat.P10UeVM,IF(MONTH(Monat.Tag1)=10,September!Monat.P10UeVM,IF(MONTH(Monat.Tag1)=11,October!Monat.P10UeVM,IF(MONTH(Monat.Tag1)=12,November!Monat.P10UeVM,"")))))))))))),"")</f>
        <v>0</v>
      </c>
      <c r="AM106" s="209"/>
      <c r="AN106" s="246">
        <f t="shared" ca="1" si="37"/>
        <v>0</v>
      </c>
      <c r="AO106" s="208"/>
      <c r="AP106" s="208"/>
      <c r="AQ106" s="119"/>
    </row>
    <row r="107" spans="1:43" s="38" customFormat="1" ht="15" hidden="1" customHeight="1" outlineLevel="1" x14ac:dyDescent="0.2">
      <c r="A107" s="215" t="str">
        <f t="shared" ca="1" si="36"/>
        <v/>
      </c>
      <c r="B107" s="40"/>
      <c r="C107" s="40"/>
      <c r="D107" s="40"/>
      <c r="E107" s="27"/>
      <c r="F107" s="40"/>
      <c r="G107" s="40"/>
      <c r="H107" s="40"/>
      <c r="I107" s="40"/>
      <c r="J107" s="27"/>
      <c r="K107" s="40"/>
      <c r="L107" s="27"/>
      <c r="M107" s="40"/>
      <c r="N107" s="40"/>
      <c r="O107" s="40"/>
      <c r="P107" s="40"/>
      <c r="Q107" s="27"/>
      <c r="R107" s="40"/>
      <c r="S107" s="27"/>
      <c r="T107" s="27"/>
      <c r="U107" s="40"/>
      <c r="V107" s="40"/>
      <c r="W107" s="40"/>
      <c r="X107" s="27"/>
      <c r="Y107" s="40"/>
      <c r="Z107" s="39"/>
      <c r="AA107" s="40"/>
      <c r="AB107" s="40"/>
      <c r="AC107" s="40"/>
      <c r="AD107" s="40"/>
      <c r="AE107" s="27"/>
      <c r="AF107" s="40"/>
      <c r="AG107" s="205" t="str">
        <f ca="1">A107</f>
        <v/>
      </c>
      <c r="AH107" s="233"/>
      <c r="AI107" s="238">
        <f t="shared" si="38"/>
        <v>0</v>
      </c>
      <c r="AJ107" s="261"/>
      <c r="AK107" s="224"/>
      <c r="AL107" s="245">
        <f ca="1">IF(EB.Anwendung&lt;&gt;"",IF(MONTH(Monat.Tag1)=1,0,IF(MONTH(Monat.Tag1)=2,January!Monat.P11UeVM,IF(MONTH(Monat.Tag1)=3,February!Monat.P11UeVM,IF(MONTH(Monat.Tag1)=4,March!Monat.P11UeVM,IF(MONTH(Monat.Tag1)=5,April!Monat.P11UeVM,IF(MONTH(Monat.Tag1)=6,May!Monat.P11UeVM,IF(MONTH(Monat.Tag1)=7,June!Monat.P11UeVM,IF(MONTH(Monat.Tag1)=8,July!Monat.P11UeVM,IF(MONTH(Monat.Tag1)=9,August!Monat.P11UeVM,IF(MONTH(Monat.Tag1)=10,September!Monat.P11UeVM,IF(MONTH(Monat.Tag1)=11,October!Monat.P11UeVM,IF(MONTH(Monat.Tag1)=12,November!Monat.P11UeVM,"")))))))))))),"")</f>
        <v>0</v>
      </c>
      <c r="AM107" s="209"/>
      <c r="AN107" s="246">
        <f t="shared" ca="1" si="37"/>
        <v>0</v>
      </c>
      <c r="AO107" s="287"/>
      <c r="AP107" s="287"/>
      <c r="AQ107" s="119"/>
    </row>
    <row r="108" spans="1:43" s="49" customFormat="1" ht="15" hidden="1" customHeight="1" outlineLevel="1" x14ac:dyDescent="0.2">
      <c r="A108" s="215" t="str">
        <f t="shared" ca="1" si="36"/>
        <v/>
      </c>
      <c r="B108" s="40"/>
      <c r="C108" s="40"/>
      <c r="D108" s="40"/>
      <c r="E108" s="27"/>
      <c r="F108" s="40"/>
      <c r="G108" s="40"/>
      <c r="H108" s="40"/>
      <c r="I108" s="40"/>
      <c r="J108" s="27"/>
      <c r="K108" s="40"/>
      <c r="L108" s="27"/>
      <c r="M108" s="40"/>
      <c r="N108" s="40"/>
      <c r="O108" s="40"/>
      <c r="P108" s="40"/>
      <c r="Q108" s="27"/>
      <c r="R108" s="40"/>
      <c r="S108" s="27"/>
      <c r="T108" s="27"/>
      <c r="U108" s="40"/>
      <c r="V108" s="40"/>
      <c r="W108" s="40"/>
      <c r="X108" s="27"/>
      <c r="Y108" s="40"/>
      <c r="Z108" s="39"/>
      <c r="AA108" s="40"/>
      <c r="AB108" s="40"/>
      <c r="AC108" s="40"/>
      <c r="AD108" s="40"/>
      <c r="AE108" s="27"/>
      <c r="AF108" s="40"/>
      <c r="AG108" s="205" t="str">
        <f t="shared" ca="1" si="34"/>
        <v/>
      </c>
      <c r="AH108" s="233"/>
      <c r="AI108" s="238">
        <f t="shared" si="38"/>
        <v>0</v>
      </c>
      <c r="AJ108" s="261"/>
      <c r="AK108" s="224"/>
      <c r="AL108" s="245">
        <f ca="1">IF(EB.Anwendung&lt;&gt;"",IF(MONTH(Monat.Tag1)=1,0,IF(MONTH(Monat.Tag1)=2,January!Monat.P12UeVM,IF(MONTH(Monat.Tag1)=3,February!Monat.P12UeVM,IF(MONTH(Monat.Tag1)=4,March!Monat.P12UeVM,IF(MONTH(Monat.Tag1)=5,April!Monat.P12UeVM,IF(MONTH(Monat.Tag1)=6,May!Monat.P12UeVM,IF(MONTH(Monat.Tag1)=7,June!Monat.P12UeVM,IF(MONTH(Monat.Tag1)=8,July!Monat.P12UeVM,IF(MONTH(Monat.Tag1)=9,August!Monat.P12UeVM,IF(MONTH(Monat.Tag1)=10,September!Monat.P12UeVM,IF(MONTH(Monat.Tag1)=11,October!Monat.P12UeVM,IF(MONTH(Monat.Tag1)=12,November!Monat.P12UeVM,"")))))))))))),"")</f>
        <v>0</v>
      </c>
      <c r="AM108" s="209"/>
      <c r="AN108" s="246">
        <f t="shared" ca="1" si="37"/>
        <v>0</v>
      </c>
      <c r="AO108" s="287"/>
      <c r="AP108" s="287"/>
      <c r="AQ108" s="288"/>
    </row>
    <row r="109" spans="1:43" s="49" customFormat="1" ht="15" hidden="1" customHeight="1" outlineLevel="1" x14ac:dyDescent="0.2">
      <c r="A109" s="215" t="str">
        <f t="shared" ca="1" si="36"/>
        <v/>
      </c>
      <c r="B109" s="40"/>
      <c r="C109" s="40"/>
      <c r="D109" s="40"/>
      <c r="E109" s="27"/>
      <c r="F109" s="40"/>
      <c r="G109" s="40"/>
      <c r="H109" s="40"/>
      <c r="I109" s="40"/>
      <c r="J109" s="27"/>
      <c r="K109" s="40"/>
      <c r="L109" s="27"/>
      <c r="M109" s="40"/>
      <c r="N109" s="40"/>
      <c r="O109" s="40"/>
      <c r="P109" s="40"/>
      <c r="Q109" s="27"/>
      <c r="R109" s="40"/>
      <c r="S109" s="27"/>
      <c r="T109" s="27"/>
      <c r="U109" s="40"/>
      <c r="V109" s="40"/>
      <c r="W109" s="40"/>
      <c r="X109" s="27"/>
      <c r="Y109" s="40"/>
      <c r="Z109" s="39"/>
      <c r="AA109" s="40"/>
      <c r="AB109" s="40"/>
      <c r="AC109" s="40"/>
      <c r="AD109" s="40"/>
      <c r="AE109" s="27"/>
      <c r="AF109" s="40"/>
      <c r="AG109" s="205" t="str">
        <f t="shared" ca="1" si="34"/>
        <v/>
      </c>
      <c r="AH109" s="218"/>
      <c r="AI109" s="238">
        <f t="shared" si="38"/>
        <v>0</v>
      </c>
      <c r="AJ109" s="261"/>
      <c r="AK109" s="224"/>
      <c r="AL109" s="245">
        <f ca="1">IF(EB.Anwendung&lt;&gt;"",IF(MONTH(Monat.Tag1)=1,0,IF(MONTH(Monat.Tag1)=2,January!Monat.P13UeVM,IF(MONTH(Monat.Tag1)=3,February!Monat.P13UeVM,IF(MONTH(Monat.Tag1)=4,March!Monat.P13UeVM,IF(MONTH(Monat.Tag1)=5,April!Monat.P13UeVM,IF(MONTH(Monat.Tag1)=6,May!Monat.P13UeVM,IF(MONTH(Monat.Tag1)=7,June!Monat.P13UeVM,IF(MONTH(Monat.Tag1)=8,July!Monat.P13UeVM,IF(MONTH(Monat.Tag1)=9,August!Monat.P13UeVM,IF(MONTH(Monat.Tag1)=10,September!Monat.P13UeVM,IF(MONTH(Monat.Tag1)=11,October!Monat.P13UeVM,IF(MONTH(Monat.Tag1)=12,November!Monat.P13UeVM,"")))))))))))),"")</f>
        <v>0</v>
      </c>
      <c r="AM109" s="209"/>
      <c r="AN109" s="246">
        <f t="shared" ca="1" si="37"/>
        <v>0</v>
      </c>
      <c r="AO109" s="287"/>
      <c r="AP109" s="287"/>
      <c r="AQ109" s="288"/>
    </row>
    <row r="110" spans="1:43" ht="15" hidden="1" customHeight="1" outlineLevel="1" x14ac:dyDescent="0.2">
      <c r="A110" s="215" t="str">
        <f t="shared" ca="1" si="36"/>
        <v/>
      </c>
      <c r="B110" s="40"/>
      <c r="C110" s="40"/>
      <c r="D110" s="40"/>
      <c r="E110" s="27"/>
      <c r="F110" s="40"/>
      <c r="G110" s="40"/>
      <c r="H110" s="40"/>
      <c r="I110" s="40"/>
      <c r="J110" s="27"/>
      <c r="K110" s="40"/>
      <c r="L110" s="27"/>
      <c r="M110" s="40"/>
      <c r="N110" s="40"/>
      <c r="O110" s="40"/>
      <c r="P110" s="40"/>
      <c r="Q110" s="27"/>
      <c r="R110" s="40"/>
      <c r="S110" s="27"/>
      <c r="T110" s="27"/>
      <c r="U110" s="40"/>
      <c r="V110" s="40"/>
      <c r="W110" s="40"/>
      <c r="X110" s="27"/>
      <c r="Y110" s="40"/>
      <c r="Z110" s="39"/>
      <c r="AA110" s="40"/>
      <c r="AB110" s="40"/>
      <c r="AC110" s="40"/>
      <c r="AD110" s="40"/>
      <c r="AE110" s="27"/>
      <c r="AF110" s="40"/>
      <c r="AG110" s="205" t="str">
        <f t="shared" ca="1" si="34"/>
        <v/>
      </c>
      <c r="AH110" s="218"/>
      <c r="AI110" s="238">
        <f t="shared" si="38"/>
        <v>0</v>
      </c>
      <c r="AJ110" s="261"/>
      <c r="AK110" s="224"/>
      <c r="AL110" s="245">
        <f ca="1">IF(EB.Anwendung&lt;&gt;"",IF(MONTH(Monat.Tag1)=1,0,IF(MONTH(Monat.Tag1)=2,January!Monat.P14UeVM,IF(MONTH(Monat.Tag1)=3,February!Monat.P14UeVM,IF(MONTH(Monat.Tag1)=4,March!Monat.P14UeVM,IF(MONTH(Monat.Tag1)=5,April!Monat.P14UeVM,IF(MONTH(Monat.Tag1)=6,May!Monat.P14UeVM,IF(MONTH(Monat.Tag1)=7,June!Monat.P14UeVM,IF(MONTH(Monat.Tag1)=8,July!Monat.P14UeVM,IF(MONTH(Monat.Tag1)=9,August!Monat.P14UeVM,IF(MONTH(Monat.Tag1)=10,September!Monat.P14UeVM,IF(MONTH(Monat.Tag1)=11,October!Monat.P14UeVM,IF(MONTH(Monat.Tag1)=12,November!Monat.P14UeVM,"")))))))))))),"")</f>
        <v>0</v>
      </c>
      <c r="AM110" s="209"/>
      <c r="AN110" s="246">
        <f t="shared" ca="1" si="37"/>
        <v>0</v>
      </c>
      <c r="AO110" s="287"/>
      <c r="AP110" s="287"/>
      <c r="AQ110" s="123"/>
    </row>
    <row r="111" spans="1:43" ht="15" hidden="1" customHeight="1" outlineLevel="1" x14ac:dyDescent="0.2">
      <c r="A111" s="215" t="str">
        <f t="shared" ca="1" si="36"/>
        <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7"/>
      <c r="AA111" s="40"/>
      <c r="AB111" s="40"/>
      <c r="AC111" s="40"/>
      <c r="AD111" s="40"/>
      <c r="AE111" s="40"/>
      <c r="AF111" s="40"/>
      <c r="AG111" s="205" t="str">
        <f t="shared" ca="1" si="34"/>
        <v/>
      </c>
      <c r="AH111" s="218"/>
      <c r="AI111" s="238">
        <f t="shared" si="38"/>
        <v>0</v>
      </c>
      <c r="AJ111" s="261"/>
      <c r="AK111" s="224"/>
      <c r="AL111" s="245">
        <f ca="1">IF(EB.Anwendung&lt;&gt;"",IF(MONTH(Monat.Tag1)=1,0,IF(MONTH(Monat.Tag1)=2,January!Monat.P15UeVM,IF(MONTH(Monat.Tag1)=3,February!Monat.P15UeVM,IF(MONTH(Monat.Tag1)=4,March!Monat.P15UeVM,IF(MONTH(Monat.Tag1)=5,April!Monat.P15UeVM,IF(MONTH(Monat.Tag1)=6,May!Monat.P15UeVM,IF(MONTH(Monat.Tag1)=7,June!Monat.P15UeVM,IF(MONTH(Monat.Tag1)=8,July!Monat.P15UeVM,IF(MONTH(Monat.Tag1)=9,August!Monat.P15UeVM,IF(MONTH(Monat.Tag1)=10,September!Monat.P15UeVM,IF(MONTH(Monat.Tag1)=11,October!Monat.P15UeVM,IF(MONTH(Monat.Tag1)=12,November!Monat.P15UeVM,"")))))))))))),"")</f>
        <v>0</v>
      </c>
      <c r="AM111" s="209"/>
      <c r="AN111" s="246">
        <f t="shared" ca="1" si="37"/>
        <v>0</v>
      </c>
      <c r="AO111" s="287"/>
      <c r="AP111" s="287"/>
      <c r="AQ111" s="123"/>
    </row>
    <row r="112" spans="1:43" ht="15" customHeight="1" collapsed="1" x14ac:dyDescent="0.2">
      <c r="A112" s="215" t="s">
        <v>168</v>
      </c>
      <c r="B112" s="236">
        <f>SUM(B97:B111)</f>
        <v>0</v>
      </c>
      <c r="C112" s="236">
        <f t="shared" ref="C112:AF112" si="39">SUM(C97:C111)</f>
        <v>0</v>
      </c>
      <c r="D112" s="236">
        <f t="shared" si="39"/>
        <v>0</v>
      </c>
      <c r="E112" s="236">
        <f t="shared" si="39"/>
        <v>0</v>
      </c>
      <c r="F112" s="236">
        <f t="shared" si="39"/>
        <v>0</v>
      </c>
      <c r="G112" s="236">
        <f t="shared" si="39"/>
        <v>0</v>
      </c>
      <c r="H112" s="236">
        <f t="shared" si="39"/>
        <v>0</v>
      </c>
      <c r="I112" s="236">
        <f t="shared" si="39"/>
        <v>0</v>
      </c>
      <c r="J112" s="236">
        <f t="shared" si="39"/>
        <v>0</v>
      </c>
      <c r="K112" s="236">
        <f t="shared" si="39"/>
        <v>0</v>
      </c>
      <c r="L112" s="236">
        <f t="shared" si="39"/>
        <v>0</v>
      </c>
      <c r="M112" s="236">
        <f t="shared" si="39"/>
        <v>0</v>
      </c>
      <c r="N112" s="236">
        <f t="shared" si="39"/>
        <v>0</v>
      </c>
      <c r="O112" s="236">
        <f t="shared" si="39"/>
        <v>0</v>
      </c>
      <c r="P112" s="236">
        <f t="shared" si="39"/>
        <v>0</v>
      </c>
      <c r="Q112" s="236">
        <f t="shared" si="39"/>
        <v>0</v>
      </c>
      <c r="R112" s="236">
        <f t="shared" si="39"/>
        <v>0</v>
      </c>
      <c r="S112" s="236">
        <f t="shared" si="39"/>
        <v>0</v>
      </c>
      <c r="T112" s="236">
        <f t="shared" si="39"/>
        <v>0</v>
      </c>
      <c r="U112" s="236">
        <f t="shared" si="39"/>
        <v>0</v>
      </c>
      <c r="V112" s="236">
        <f t="shared" si="39"/>
        <v>0</v>
      </c>
      <c r="W112" s="236">
        <f t="shared" si="39"/>
        <v>0</v>
      </c>
      <c r="X112" s="236">
        <f t="shared" si="39"/>
        <v>0</v>
      </c>
      <c r="Y112" s="236">
        <f t="shared" si="39"/>
        <v>0</v>
      </c>
      <c r="Z112" s="236">
        <f t="shared" si="39"/>
        <v>0</v>
      </c>
      <c r="AA112" s="236">
        <f t="shared" si="39"/>
        <v>0</v>
      </c>
      <c r="AB112" s="236">
        <f t="shared" si="39"/>
        <v>0</v>
      </c>
      <c r="AC112" s="236">
        <f t="shared" si="39"/>
        <v>0</v>
      </c>
      <c r="AD112" s="236">
        <f t="shared" si="39"/>
        <v>0</v>
      </c>
      <c r="AE112" s="236">
        <f t="shared" si="39"/>
        <v>0</v>
      </c>
      <c r="AF112" s="236">
        <f t="shared" si="39"/>
        <v>0</v>
      </c>
      <c r="AG112" s="217" t="str">
        <f t="shared" si="34"/>
        <v>Hours worked for projects</v>
      </c>
      <c r="AH112" s="218"/>
      <c r="AI112" s="238">
        <f t="shared" si="38"/>
        <v>0</v>
      </c>
      <c r="AJ112" s="261"/>
      <c r="AK112" s="224"/>
      <c r="AL112" s="245">
        <f ca="1">IF(EB.Anwendung&lt;&gt;"",IF(MONTH(Monat.Tag1)=1,0,IF(MONTH(Monat.Tag1)=2,January!Monat.PTotalUeVM,IF(MONTH(Monat.Tag1)=3,February!Monat.PTotalUeVM,IF(MONTH(Monat.Tag1)=4,March!Monat.PTotalUeVM,IF(MONTH(Monat.Tag1)=5,April!Monat.PTotalUeVM,IF(MONTH(Monat.Tag1)=6,May!Monat.PTotalUeVM,IF(MONTH(Monat.Tag1)=7,June!Monat.PTotalUeVM,IF(MONTH(Monat.Tag1)=8,July!Monat.PTotalUeVM,IF(MONTH(Monat.Tag1)=9,August!Monat.PTotalUeVM,IF(MONTH(Monat.Tag1)=10,September!Monat.PTotalUeVM,IF(MONTH(Monat.Tag1)=11,October!Monat.PTotalUeVM,IF(MONTH(Monat.Tag1)=12,November!Monat.PTotalUeVM,"")))))))))))),"")</f>
        <v>0</v>
      </c>
      <c r="AM112" s="209"/>
      <c r="AN112" s="246">
        <f t="shared" ca="1" si="37"/>
        <v>0</v>
      </c>
      <c r="AO112" s="289"/>
      <c r="AP112" s="289"/>
      <c r="AQ112" s="123"/>
    </row>
    <row r="113" spans="1:43" s="38" customFormat="1" ht="11.25" customHeight="1" x14ac:dyDescent="0.2">
      <c r="A113" s="290"/>
      <c r="B113" s="226"/>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91"/>
      <c r="AH113" s="286"/>
      <c r="AI113" s="226"/>
      <c r="AJ113" s="292"/>
      <c r="AK113" s="226"/>
      <c r="AL113" s="226"/>
      <c r="AM113" s="226"/>
      <c r="AN113" s="130"/>
      <c r="AO113" s="226"/>
      <c r="AP113" s="226"/>
      <c r="AQ113" s="119"/>
    </row>
    <row r="114" spans="1:43" s="38" customFormat="1" ht="15" hidden="1" customHeight="1" outlineLevel="1" x14ac:dyDescent="0.2">
      <c r="A114" s="215" t="s">
        <v>225</v>
      </c>
      <c r="B114" s="241">
        <f t="shared" ref="B114:AF114" si="40">ROUND(((B23+B45+B91)-SUMPRODUCT((B97:B111)*(EB.Projektart.Bereich=6)))*1440,0)/1440</f>
        <v>0</v>
      </c>
      <c r="C114" s="241">
        <f t="shared" si="40"/>
        <v>0</v>
      </c>
      <c r="D114" s="241">
        <f t="shared" si="40"/>
        <v>0</v>
      </c>
      <c r="E114" s="241">
        <f t="shared" si="40"/>
        <v>0</v>
      </c>
      <c r="F114" s="241">
        <f t="shared" si="40"/>
        <v>0</v>
      </c>
      <c r="G114" s="241">
        <f t="shared" si="40"/>
        <v>0</v>
      </c>
      <c r="H114" s="241">
        <f t="shared" si="40"/>
        <v>0</v>
      </c>
      <c r="I114" s="241">
        <f t="shared" si="40"/>
        <v>0</v>
      </c>
      <c r="J114" s="241">
        <f t="shared" si="40"/>
        <v>0</v>
      </c>
      <c r="K114" s="241">
        <f t="shared" si="40"/>
        <v>0</v>
      </c>
      <c r="L114" s="241">
        <f t="shared" si="40"/>
        <v>0</v>
      </c>
      <c r="M114" s="241">
        <f t="shared" si="40"/>
        <v>0</v>
      </c>
      <c r="N114" s="241">
        <f t="shared" si="40"/>
        <v>0</v>
      </c>
      <c r="O114" s="241">
        <f t="shared" si="40"/>
        <v>0</v>
      </c>
      <c r="P114" s="241">
        <f t="shared" si="40"/>
        <v>0</v>
      </c>
      <c r="Q114" s="241">
        <f t="shared" si="40"/>
        <v>0</v>
      </c>
      <c r="R114" s="241">
        <f t="shared" si="40"/>
        <v>0</v>
      </c>
      <c r="S114" s="241">
        <f t="shared" si="40"/>
        <v>0</v>
      </c>
      <c r="T114" s="241">
        <f t="shared" si="40"/>
        <v>0</v>
      </c>
      <c r="U114" s="241">
        <f t="shared" si="40"/>
        <v>0</v>
      </c>
      <c r="V114" s="241">
        <f t="shared" si="40"/>
        <v>0</v>
      </c>
      <c r="W114" s="241">
        <f t="shared" si="40"/>
        <v>0</v>
      </c>
      <c r="X114" s="241">
        <f t="shared" si="40"/>
        <v>0</v>
      </c>
      <c r="Y114" s="241">
        <f t="shared" si="40"/>
        <v>0</v>
      </c>
      <c r="Z114" s="241">
        <f t="shared" si="40"/>
        <v>0</v>
      </c>
      <c r="AA114" s="241">
        <f t="shared" si="40"/>
        <v>0</v>
      </c>
      <c r="AB114" s="241">
        <f t="shared" si="40"/>
        <v>0</v>
      </c>
      <c r="AC114" s="241">
        <f t="shared" si="40"/>
        <v>0</v>
      </c>
      <c r="AD114" s="241">
        <f t="shared" si="40"/>
        <v>0</v>
      </c>
      <c r="AE114" s="241">
        <f t="shared" si="40"/>
        <v>0</v>
      </c>
      <c r="AF114" s="241">
        <f t="shared" si="40"/>
        <v>0</v>
      </c>
      <c r="AG114" s="217" t="str">
        <f t="shared" ref="AG114" si="41">A114</f>
        <v>Difference WH-Project type 6</v>
      </c>
      <c r="AH114" s="228"/>
      <c r="AI114" s="238">
        <f>SUM(B114:AF114)</f>
        <v>0</v>
      </c>
      <c r="AJ114" s="261"/>
      <c r="AK114" s="262"/>
      <c r="AL114" s="245">
        <f ca="1">IF(EB.Anwendung&lt;&gt;"",IF(MONTH(Monat.Tag1)=1,0,IF(MONTH(Monat.Tag1)=2,January!Monat.PDiffUeVM,IF(MONTH(Monat.Tag1)=3,February!Monat.PDiffUeVM,IF(MONTH(Monat.Tag1)=4,March!Monat.PDiffUeVM,IF(MONTH(Monat.Tag1)=5,April!Monat.PDiffUeVM,IF(MONTH(Monat.Tag1)=6,May!Monat.PDiffUeVM,IF(MONTH(Monat.Tag1)=7,June!Monat.PDiffUeVM,IF(MONTH(Monat.Tag1)=8,July!Monat.PDiffUeVM,IF(MONTH(Monat.Tag1)=9,August!Monat.PDiffUeVM,IF(MONTH(Monat.Tag1)=10,September!Monat.PDiffUeVM,IF(MONTH(Monat.Tag1)=11,October!Monat.PDiffUeVM,IF(MONTH(Monat.Tag1)=12,November!Monat.PDiffUeVM,"")))))))))))),"")</f>
        <v>0</v>
      </c>
      <c r="AM114" s="262"/>
      <c r="AN114" s="246">
        <f ca="1">AI114+AL114</f>
        <v>0</v>
      </c>
      <c r="AO114" s="262"/>
      <c r="AP114" s="262"/>
      <c r="AQ114" s="119"/>
    </row>
    <row r="115" spans="1:43" ht="11.25" hidden="1" customHeight="1" outlineLevel="1" x14ac:dyDescent="0.2">
      <c r="A115" s="123"/>
      <c r="B115" s="293"/>
      <c r="C115" s="293"/>
      <c r="D115" s="293"/>
      <c r="E115" s="293"/>
      <c r="F115" s="293"/>
      <c r="G115" s="293"/>
      <c r="H115" s="293"/>
      <c r="I115" s="293"/>
      <c r="J115" s="294"/>
      <c r="K115" s="293"/>
      <c r="L115" s="293"/>
      <c r="M115" s="293"/>
      <c r="N115" s="293"/>
      <c r="O115" s="293"/>
      <c r="P115" s="293"/>
      <c r="Q115" s="293"/>
      <c r="R115" s="293"/>
      <c r="S115" s="293"/>
      <c r="T115" s="293"/>
      <c r="U115" s="293"/>
      <c r="V115" s="293"/>
      <c r="W115" s="293"/>
      <c r="X115" s="293"/>
      <c r="Y115" s="293"/>
      <c r="Z115" s="293"/>
      <c r="AA115" s="293"/>
      <c r="AB115" s="293"/>
      <c r="AC115" s="293"/>
      <c r="AD115" s="293"/>
      <c r="AE115" s="293"/>
      <c r="AF115" s="293"/>
      <c r="AG115" s="295"/>
      <c r="AH115" s="296"/>
      <c r="AI115" s="123"/>
      <c r="AJ115" s="123"/>
      <c r="AK115" s="123"/>
      <c r="AL115" s="123"/>
      <c r="AM115" s="123"/>
      <c r="AN115" s="297"/>
      <c r="AO115" s="123"/>
      <c r="AP115" s="123"/>
      <c r="AQ115" s="123"/>
    </row>
    <row r="116" spans="1:43" ht="11.25" customHeight="1" collapsed="1" x14ac:dyDescent="0.2">
      <c r="A116" s="123"/>
      <c r="B116" s="293"/>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293"/>
      <c r="AA116" s="293"/>
      <c r="AB116" s="293"/>
      <c r="AC116" s="293"/>
      <c r="AD116" s="293"/>
      <c r="AE116" s="293"/>
      <c r="AF116" s="293"/>
      <c r="AG116" s="295"/>
      <c r="AH116" s="296"/>
      <c r="AI116" s="123"/>
      <c r="AJ116" s="123"/>
      <c r="AK116" s="123"/>
      <c r="AL116" s="123"/>
      <c r="AM116" s="123"/>
      <c r="AN116" s="297"/>
      <c r="AO116" s="123"/>
      <c r="AP116" s="123"/>
      <c r="AQ116" s="123"/>
    </row>
    <row r="117" spans="1:43" ht="12" customHeight="1" x14ac:dyDescent="0.2">
      <c r="A117" s="123"/>
      <c r="B117" s="490" t="s">
        <v>226</v>
      </c>
      <c r="C117" s="490"/>
      <c r="D117" s="490"/>
      <c r="E117" s="490"/>
      <c r="F117" s="490"/>
      <c r="G117" s="490"/>
      <c r="H117" s="490"/>
      <c r="I117" s="490"/>
      <c r="J117" s="490"/>
      <c r="K117" s="490"/>
      <c r="L117" s="490"/>
      <c r="M117" s="490"/>
      <c r="N117" s="490"/>
      <c r="O117" s="490"/>
      <c r="P117" s="490"/>
      <c r="Q117" s="490"/>
      <c r="R117" s="298"/>
      <c r="S117" s="298"/>
      <c r="T117" s="298"/>
      <c r="U117" s="298"/>
      <c r="V117" s="298"/>
      <c r="W117" s="298"/>
      <c r="X117" s="298"/>
      <c r="Y117" s="298"/>
      <c r="Z117" s="298"/>
      <c r="AA117" s="298"/>
      <c r="AB117" s="298"/>
      <c r="AC117" s="298"/>
      <c r="AD117" s="298"/>
      <c r="AE117" s="298"/>
      <c r="AF117" s="298"/>
      <c r="AG117" s="299"/>
      <c r="AH117" s="300"/>
      <c r="AI117" s="298"/>
      <c r="AJ117" s="298"/>
      <c r="AK117" s="298"/>
      <c r="AL117" s="298"/>
      <c r="AM117" s="298"/>
      <c r="AN117" s="301"/>
      <c r="AO117" s="288"/>
      <c r="AP117" s="288"/>
      <c r="AQ117" s="123"/>
    </row>
    <row r="118" spans="1:43" ht="11.25" customHeight="1" x14ac:dyDescent="0.2">
      <c r="A118" s="302"/>
      <c r="B118" s="302"/>
      <c r="C118" s="302"/>
      <c r="D118" s="302"/>
      <c r="E118" s="302"/>
      <c r="F118" s="302"/>
      <c r="G118" s="302"/>
      <c r="H118" s="302"/>
      <c r="I118" s="302"/>
      <c r="J118" s="302"/>
      <c r="K118" s="302"/>
      <c r="L118" s="302"/>
      <c r="M118" s="298"/>
      <c r="N118" s="298"/>
      <c r="O118" s="298"/>
      <c r="P118" s="298"/>
      <c r="Q118" s="298"/>
      <c r="R118" s="298"/>
      <c r="S118" s="298"/>
      <c r="T118" s="298"/>
      <c r="U118" s="298"/>
      <c r="V118" s="298"/>
      <c r="W118" s="298"/>
      <c r="X118" s="298"/>
      <c r="Y118" s="298"/>
      <c r="Z118" s="298"/>
      <c r="AA118" s="298"/>
      <c r="AB118" s="298"/>
      <c r="AC118" s="298"/>
      <c r="AD118" s="298"/>
      <c r="AE118" s="298"/>
      <c r="AF118" s="298"/>
      <c r="AG118" s="298"/>
      <c r="AH118" s="298"/>
      <c r="AI118" s="298"/>
      <c r="AJ118" s="298"/>
      <c r="AK118" s="298"/>
      <c r="AL118" s="298"/>
      <c r="AM118" s="298"/>
      <c r="AN118" s="298"/>
      <c r="AO118" s="298"/>
      <c r="AP118" s="298"/>
      <c r="AQ118" s="123"/>
    </row>
    <row r="119" spans="1:43" ht="39" customHeight="1" x14ac:dyDescent="0.2">
      <c r="A119" s="135" t="s">
        <v>227</v>
      </c>
      <c r="B119" s="491"/>
      <c r="C119" s="491"/>
      <c r="D119" s="491"/>
      <c r="E119" s="491"/>
      <c r="F119" s="491"/>
      <c r="G119" s="491"/>
      <c r="H119" s="491"/>
      <c r="I119" s="491"/>
      <c r="J119" s="491"/>
      <c r="K119" s="491"/>
      <c r="L119" s="491"/>
      <c r="M119" s="491"/>
      <c r="N119" s="491"/>
      <c r="O119" s="491"/>
      <c r="P119" s="491"/>
      <c r="Q119" s="491"/>
      <c r="R119" s="298"/>
      <c r="S119" s="298"/>
      <c r="T119" s="298"/>
      <c r="U119" s="298"/>
      <c r="V119" s="298"/>
      <c r="W119" s="298"/>
      <c r="X119" s="298"/>
      <c r="Y119" s="492"/>
      <c r="Z119" s="492"/>
      <c r="AA119" s="492"/>
      <c r="AB119" s="492"/>
      <c r="AC119" s="492"/>
      <c r="AD119" s="492"/>
      <c r="AE119" s="492"/>
      <c r="AF119" s="492"/>
      <c r="AG119" s="494" t="str">
        <f ca="1">IF(AG67&lt;&gt;Monat.KomAZText,AG67 &amp; CHAR(10),"") &amp;
IF(AG84&lt;&gt;Monat.FerienText,AG84,"")</f>
        <v/>
      </c>
      <c r="AH119" s="494"/>
      <c r="AI119" s="494"/>
      <c r="AJ119" s="494"/>
      <c r="AK119" s="494"/>
      <c r="AL119" s="494"/>
      <c r="AM119" s="494"/>
      <c r="AN119" s="494"/>
      <c r="AO119" s="494"/>
      <c r="AP119" s="494"/>
      <c r="AQ119" s="123"/>
    </row>
    <row r="120" spans="1:43" ht="12" customHeight="1" x14ac:dyDescent="0.2">
      <c r="A120" s="442" t="s">
        <v>228</v>
      </c>
      <c r="B120" s="495"/>
      <c r="C120" s="495"/>
      <c r="D120" s="495"/>
      <c r="E120" s="495"/>
      <c r="F120" s="495"/>
      <c r="G120" s="495"/>
      <c r="H120" s="495"/>
      <c r="I120" s="495"/>
      <c r="J120" s="495"/>
      <c r="K120" s="495"/>
      <c r="L120" s="495"/>
      <c r="M120" s="495"/>
      <c r="N120" s="495"/>
      <c r="O120" s="495"/>
      <c r="P120" s="495"/>
      <c r="Q120" s="495"/>
      <c r="R120" s="298"/>
      <c r="S120" s="298"/>
      <c r="T120" s="496" t="s">
        <v>234</v>
      </c>
      <c r="U120" s="496"/>
      <c r="V120" s="496"/>
      <c r="W120" s="496"/>
      <c r="X120" s="496"/>
      <c r="Y120" s="493"/>
      <c r="Z120" s="493"/>
      <c r="AA120" s="493"/>
      <c r="AB120" s="493"/>
      <c r="AC120" s="493"/>
      <c r="AD120" s="493"/>
      <c r="AE120" s="493"/>
      <c r="AF120" s="493"/>
      <c r="AG120" s="494"/>
      <c r="AH120" s="494"/>
      <c r="AI120" s="494"/>
      <c r="AJ120" s="494"/>
      <c r="AK120" s="494"/>
      <c r="AL120" s="494"/>
      <c r="AM120" s="494"/>
      <c r="AN120" s="494"/>
      <c r="AO120" s="494"/>
      <c r="AP120" s="494"/>
      <c r="AQ120" s="123"/>
    </row>
    <row r="121" spans="1:43" ht="11.25" customHeight="1" x14ac:dyDescent="0.2">
      <c r="A121" s="304"/>
      <c r="B121" s="305"/>
      <c r="C121" s="305"/>
      <c r="D121" s="305"/>
      <c r="E121" s="305"/>
      <c r="F121" s="305"/>
      <c r="G121" s="305"/>
      <c r="H121" s="305"/>
      <c r="I121" s="305"/>
      <c r="J121" s="305"/>
      <c r="K121" s="305"/>
      <c r="L121" s="305"/>
      <c r="M121" s="293"/>
      <c r="N121" s="293"/>
      <c r="O121" s="293"/>
      <c r="P121" s="293"/>
      <c r="Q121" s="293"/>
      <c r="R121" s="293"/>
      <c r="S121" s="298"/>
      <c r="T121" s="293"/>
      <c r="U121" s="293"/>
      <c r="V121" s="293"/>
      <c r="W121" s="293"/>
      <c r="X121" s="293"/>
      <c r="Y121" s="293"/>
      <c r="Z121" s="293"/>
      <c r="AA121" s="293"/>
      <c r="AB121" s="293"/>
      <c r="AC121" s="293"/>
      <c r="AD121" s="293"/>
      <c r="AE121" s="293"/>
      <c r="AF121" s="293"/>
      <c r="AG121" s="295"/>
      <c r="AH121" s="296"/>
      <c r="AI121" s="123"/>
      <c r="AJ121" s="123"/>
      <c r="AK121" s="123"/>
      <c r="AL121" s="123"/>
      <c r="AM121" s="123"/>
      <c r="AN121" s="297"/>
      <c r="AO121" s="123"/>
      <c r="AP121" s="123"/>
      <c r="AQ121" s="123"/>
    </row>
    <row r="122" spans="1:43" ht="12" customHeight="1" x14ac:dyDescent="0.2">
      <c r="A122" s="123"/>
      <c r="B122" s="482" t="s">
        <v>91</v>
      </c>
      <c r="C122" s="482"/>
      <c r="D122" s="482"/>
      <c r="E122" s="482"/>
      <c r="F122" s="482"/>
      <c r="G122" s="482"/>
      <c r="H122" s="482"/>
      <c r="I122" s="482"/>
      <c r="J122" s="482"/>
      <c r="K122" s="482"/>
      <c r="L122" s="482"/>
      <c r="M122" s="482"/>
      <c r="N122" s="482"/>
      <c r="O122" s="482"/>
      <c r="P122" s="482"/>
      <c r="Q122" s="482"/>
      <c r="R122" s="293"/>
      <c r="S122" s="293"/>
      <c r="T122" s="293"/>
      <c r="U122" s="293"/>
      <c r="V122" s="293"/>
      <c r="W122" s="293"/>
      <c r="X122" s="293"/>
      <c r="Y122" s="293"/>
      <c r="Z122" s="293"/>
      <c r="AA122" s="293"/>
      <c r="AB122" s="293"/>
      <c r="AC122" s="293"/>
      <c r="AD122" s="293"/>
      <c r="AE122" s="293"/>
      <c r="AF122" s="293"/>
      <c r="AG122" s="295"/>
      <c r="AH122" s="296"/>
      <c r="AI122" s="123"/>
      <c r="AJ122" s="123"/>
      <c r="AK122" s="123"/>
      <c r="AL122" s="123"/>
      <c r="AM122" s="123"/>
      <c r="AN122" s="297"/>
      <c r="AO122" s="123"/>
      <c r="AP122" s="123"/>
      <c r="AQ122" s="123"/>
    </row>
    <row r="123" spans="1:43" ht="11.25" customHeight="1" x14ac:dyDescent="0.2">
      <c r="A123" s="123"/>
      <c r="B123" s="293"/>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293"/>
      <c r="Z123" s="293"/>
      <c r="AA123" s="293"/>
      <c r="AB123" s="293"/>
      <c r="AC123" s="293"/>
      <c r="AD123" s="293"/>
      <c r="AE123" s="293"/>
      <c r="AF123" s="293"/>
      <c r="AG123" s="295"/>
      <c r="AH123" s="296"/>
      <c r="AI123" s="123"/>
      <c r="AJ123" s="123"/>
      <c r="AK123" s="123"/>
      <c r="AL123" s="123"/>
      <c r="AM123" s="123"/>
      <c r="AN123" s="297"/>
      <c r="AO123" s="123"/>
      <c r="AP123" s="123"/>
      <c r="AQ123" s="123"/>
    </row>
    <row r="124" spans="1:43" ht="11.25" customHeight="1" x14ac:dyDescent="0.2">
      <c r="A124" s="298"/>
      <c r="B124" s="298"/>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c r="AA124" s="298"/>
      <c r="AB124" s="298"/>
      <c r="AC124" s="298"/>
      <c r="AD124" s="298"/>
      <c r="AE124" s="298"/>
      <c r="AF124" s="298"/>
      <c r="AG124" s="298"/>
      <c r="AH124" s="298"/>
      <c r="AI124" s="298"/>
      <c r="AJ124" s="298"/>
      <c r="AK124" s="298"/>
      <c r="AL124" s="298"/>
      <c r="AM124" s="298"/>
      <c r="AN124" s="298"/>
      <c r="AO124" s="298"/>
      <c r="AP124" s="298"/>
      <c r="AQ124" s="123"/>
    </row>
    <row r="125" spans="1:43" x14ac:dyDescent="0.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row>
    <row r="126" spans="1:43"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row>
    <row r="127" spans="1:43"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row>
    <row r="128" spans="1:43" x14ac:dyDescent="0.2">
      <c r="AG128" s="50"/>
      <c r="AH128" s="50"/>
      <c r="AN128" s="50"/>
    </row>
    <row r="129" spans="33:40" x14ac:dyDescent="0.2">
      <c r="AG129" s="50"/>
      <c r="AH129" s="50"/>
      <c r="AN129" s="50"/>
    </row>
    <row r="130" spans="33:40" x14ac:dyDescent="0.2">
      <c r="AG130" s="50"/>
      <c r="AH130" s="50"/>
      <c r="AN130" s="50"/>
    </row>
    <row r="131" spans="33:40" x14ac:dyDescent="0.2">
      <c r="AG131" s="50"/>
      <c r="AH131" s="50"/>
      <c r="AN131" s="50"/>
    </row>
    <row r="132" spans="33:40" x14ac:dyDescent="0.2">
      <c r="AG132" s="50"/>
      <c r="AH132" s="50"/>
      <c r="AN132" s="50"/>
    </row>
    <row r="133" spans="33:40" x14ac:dyDescent="0.2">
      <c r="AG133" s="50"/>
      <c r="AH133" s="50"/>
      <c r="AN133" s="50"/>
    </row>
    <row r="134" spans="33:40" x14ac:dyDescent="0.2">
      <c r="AG134" s="50"/>
      <c r="AH134" s="50"/>
      <c r="AN134" s="50"/>
    </row>
    <row r="135" spans="33:40" x14ac:dyDescent="0.2">
      <c r="AG135" s="50"/>
      <c r="AH135" s="50"/>
      <c r="AN135" s="50"/>
    </row>
    <row r="136" spans="33:40" x14ac:dyDescent="0.2">
      <c r="AG136" s="50"/>
      <c r="AH136" s="50"/>
      <c r="AN136" s="50"/>
    </row>
    <row r="137" spans="33:40" x14ac:dyDescent="0.2">
      <c r="AG137" s="50"/>
      <c r="AH137" s="50"/>
      <c r="AN137" s="50"/>
    </row>
    <row r="138" spans="33:40" x14ac:dyDescent="0.2">
      <c r="AG138" s="50"/>
      <c r="AH138" s="50"/>
      <c r="AN138" s="50"/>
    </row>
    <row r="139" spans="33:40" x14ac:dyDescent="0.2">
      <c r="AG139" s="50"/>
      <c r="AH139" s="50"/>
      <c r="AN139" s="50"/>
    </row>
    <row r="140" spans="33:40" x14ac:dyDescent="0.2">
      <c r="AG140" s="50"/>
      <c r="AH140" s="50"/>
      <c r="AN140" s="50"/>
    </row>
  </sheetData>
  <sheetProtection sheet="1" objects="1" scenarios="1"/>
  <mergeCells count="26">
    <mergeCell ref="B6:E6"/>
    <mergeCell ref="F6:N6"/>
    <mergeCell ref="B1:L1"/>
    <mergeCell ref="AO1:AP1"/>
    <mergeCell ref="B2:E2"/>
    <mergeCell ref="F2:N2"/>
    <mergeCell ref="P2:U2"/>
    <mergeCell ref="B3:E3"/>
    <mergeCell ref="F3:N3"/>
    <mergeCell ref="P3:U3"/>
    <mergeCell ref="B4:E4"/>
    <mergeCell ref="F4:N4"/>
    <mergeCell ref="P4:U4"/>
    <mergeCell ref="B5:E5"/>
    <mergeCell ref="F5:N5"/>
    <mergeCell ref="B122:Q122"/>
    <mergeCell ref="B7:E7"/>
    <mergeCell ref="F7:N7"/>
    <mergeCell ref="AH10:AI10"/>
    <mergeCell ref="AO10:AP10"/>
    <mergeCell ref="B117:Q117"/>
    <mergeCell ref="B119:Q119"/>
    <mergeCell ref="Y119:AF120"/>
    <mergeCell ref="AG119:AP120"/>
    <mergeCell ref="B120:Q120"/>
    <mergeCell ref="T120:X120"/>
  </mergeCells>
  <conditionalFormatting sqref="B114:AF114 AI114">
    <cfRule type="expression" dxfId="36" priority="13">
      <formula>ABS(B$114)&gt;=ROUND(1/24/60,9)</formula>
    </cfRule>
  </conditionalFormatting>
  <conditionalFormatting sqref="B13:AF22 B34:AF44 B25:AF30 B60:AF61 B67:AF67 B71:AF72 B84:AF84 B86:AF95 B97:AF111">
    <cfRule type="expression" dxfId="35" priority="11">
      <formula>WEEKDAY(B$10,2)&gt;5</formula>
    </cfRule>
    <cfRule type="expression" dxfId="34" priority="12">
      <formula>AND(NOT(ISERROR(MATCH(B$10,T.Feiertage.Bereich,0))),OFFSET(T.Feiertage.Bereich,MATCH(B$10,T.Feiertage.Bereich,0)-1,1,1,1)&gt;0)</formula>
    </cfRule>
    <cfRule type="expression" dxfId="33" priority="14">
      <formula>B$11=0</formula>
    </cfRule>
  </conditionalFormatting>
  <conditionalFormatting sqref="AN60:AO60">
    <cfRule type="expression" dxfId="32" priority="19">
      <formula>AND(T.50_Vetsuisse,AN60&gt;=T.GrenzeAngÜZ50_Vetsuisse)</formula>
    </cfRule>
    <cfRule type="expression" dxfId="31" priority="20">
      <formula>AND(T.50_Vetsuisse,AN60&gt;T.GrenzeAngÜZ50_Vetsuisse*T.AngÜZ50_Vetsuisse_orange)</formula>
    </cfRule>
  </conditionalFormatting>
  <conditionalFormatting sqref="B56:AF56">
    <cfRule type="expression" dxfId="30" priority="5">
      <formula>AND(B$10&gt;TODAY(),EB.UJAustritt="")</formula>
    </cfRule>
    <cfRule type="expression" dxfId="29" priority="6">
      <formula>B$56&gt;99.99/24</formula>
    </cfRule>
    <cfRule type="expression" dxfId="28" priority="8">
      <formula>B$56&lt;99.99/24*-1</formula>
    </cfRule>
  </conditionalFormatting>
  <conditionalFormatting sqref="AO55:AP55">
    <cfRule type="cellIs" dxfId="27" priority="21" operator="greaterThan">
      <formula>1/24/60</formula>
    </cfRule>
    <cfRule type="expression" dxfId="26" priority="22">
      <formula>AND(AO55&lt;=1/24/60*-1,TODAY()&gt;=DATE(EB.Jahr,MONTH(12),DAY(31)))</formula>
    </cfRule>
  </conditionalFormatting>
  <conditionalFormatting sqref="B56:AF56 AI58">
    <cfRule type="expression" dxfId="25" priority="7">
      <formula>B$56&gt;1/24/60</formula>
    </cfRule>
    <cfRule type="expression" dxfId="24" priority="9">
      <formula>AND(B$56&lt;=1/24/60*-1,B$56)</formula>
    </cfRule>
  </conditionalFormatting>
  <conditionalFormatting sqref="B14:AF22 B36:AF44 B26:AF30">
    <cfRule type="expression" dxfId="23" priority="3">
      <formula>AND(B14&lt;B13,B14&lt;&gt;"")</formula>
    </cfRule>
  </conditionalFormatting>
  <conditionalFormatting sqref="B72:AF73">
    <cfRule type="expression" dxfId="22" priority="10">
      <formula>AND(T.50_Vetsuisse,OR(AND(B$72&lt;&gt;INDEX(T.JaNein.Bereich,1,1),B$72&lt;&gt;INDEX(T.JaNein.Bereich,2,1),B$73&lt;&gt;0,MOD(IFERROR(MATCH(1,B$13:B$22,0),1),2)=0),AND(B$72=INDEX(T.JaNein.Bereich,1,1),OR(B$73=0,MOD(IFERROR(MATCH(1,B$13:B$22,0),1),2)&lt;&gt;0))))</formula>
    </cfRule>
  </conditionalFormatting>
  <conditionalFormatting sqref="P4:U4">
    <cfRule type="expression" dxfId="21" priority="15">
      <formula>$P$4&lt;&gt;""</formula>
    </cfRule>
  </conditionalFormatting>
  <conditionalFormatting sqref="V4">
    <cfRule type="expression" dxfId="20" priority="16">
      <formula>$V$4&lt;&gt;""</formula>
    </cfRule>
  </conditionalFormatting>
  <conditionalFormatting sqref="AP60">
    <cfRule type="expression" dxfId="19" priority="23">
      <formula>AND(T.50_Vetsuisse,AP60&gt;=T.GrenzeAngÜZ50_Vetsuisse)</formula>
    </cfRule>
    <cfRule type="expression" dxfId="18" priority="24">
      <formula>AND(T.50_Vetsuisse,AP60&gt;T.GrenzeAngÜZ50_Vetsuisse*T.AngÜZ50_Vetsuisse_orange)</formula>
    </cfRule>
  </conditionalFormatting>
  <conditionalFormatting sqref="AJ72:AJ73">
    <cfRule type="expression" dxfId="17" priority="17">
      <formula>AND(T.50_Vetsuisse,$AJ$72&lt;&gt;$AJ$73)</formula>
    </cfRule>
    <cfRule type="expression" dxfId="16" priority="18">
      <formula>$AJ$72&gt;$AJ$73</formula>
    </cfRule>
  </conditionalFormatting>
  <conditionalFormatting sqref="B55:AF55">
    <cfRule type="expression" dxfId="15" priority="4">
      <formula>AND(B$10&lt;=TODAY(),B$55&lt;1/24/60*-1)</formula>
    </cfRule>
  </conditionalFormatting>
  <conditionalFormatting sqref="AG67 AG84">
    <cfRule type="expression" dxfId="14" priority="2">
      <formula>AG67&lt;&gt;A67</formula>
    </cfRule>
  </conditionalFormatting>
  <conditionalFormatting sqref="B67:AF67">
    <cfRule type="expression" dxfId="13" priority="1">
      <formula>AND(B66=0,B67&gt;0)</formula>
    </cfRule>
  </conditionalFormatting>
  <dataValidations count="2">
    <dataValidation type="list" allowBlank="1" showInputMessage="1" showErrorMessage="1" errorTitle="Start pl. night shift" error="Please choose a value from the drop-down list." sqref="B72:AF72" xr:uid="{01C99C3B-3385-4F75-BE58-BD414778646F}">
      <formula1>T.JaNein.Bereich</formula1>
    </dataValidation>
    <dataValidation type="list" allowBlank="1" showInputMessage="1" showErrorMessage="1" errorTitle="Pikett Bereitschaft" error="Bitte wählen Sie einen Wert aus der Liste." sqref="B34:AF34" xr:uid="{364BE1DB-92AD-473B-89C0-F08052DFA8F2}">
      <formula1>T.Pikett.Bereich</formula1>
    </dataValidation>
  </dataValidations>
  <printOptions horizontalCentered="1"/>
  <pageMargins left="0.19685039370078741" right="0.19685039370078741" top="0.39370078740157483" bottom="0.39370078740157483" header="0.31496062992125984" footer="0.19685039370078741"/>
  <pageSetup paperSize="9" scale="30" orientation="landscape" horizontalDpi="4294967292" verticalDpi="4294967292" r:id="rId1"/>
  <headerFooter alignWithMargins="0">
    <oddFooter>&amp;L&amp;"Arial,Standard"&amp;11Monatsabrechnung &amp;A&amp;C&amp;"Arial,Standard"&amp;11&amp;D&amp;R&amp;"Arial,Standard"&amp;11&amp;P / &amp;N</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4">
    <pageSetUpPr fitToPage="1"/>
  </sheetPr>
  <dimension ref="A1:AS36"/>
  <sheetViews>
    <sheetView showGridLines="0" zoomScale="85" zoomScaleNormal="85" zoomScalePageLayoutView="85" workbookViewId="0"/>
  </sheetViews>
  <sheetFormatPr baseColWidth="10" defaultColWidth="10.75" defaultRowHeight="12.75" outlineLevelCol="1" x14ac:dyDescent="0.2"/>
  <cols>
    <col min="1" max="1" width="24.875" style="50" customWidth="1"/>
    <col min="2" max="2" width="3.625" style="50" customWidth="1"/>
    <col min="3" max="3" width="7.875" style="50" customWidth="1"/>
    <col min="4" max="4" width="8.625" style="50" customWidth="1"/>
    <col min="5" max="7" width="7.875" style="50" customWidth="1"/>
    <col min="8" max="8" width="3.625" style="50" customWidth="1" outlineLevel="1"/>
    <col min="9" max="13" width="6.125" style="50" customWidth="1" outlineLevel="1"/>
    <col min="14" max="14" width="3.625" style="50" customWidth="1"/>
    <col min="15" max="15" width="7.875" style="50" customWidth="1" outlineLevel="1"/>
    <col min="16" max="16" width="6.125" style="50" customWidth="1" outlineLevel="1"/>
    <col min="17" max="17" width="3.625" style="50" customWidth="1"/>
    <col min="18" max="18" width="10" style="50" customWidth="1" outlineLevel="1"/>
    <col min="19" max="19" width="6.125" style="50" hidden="1" customWidth="1" outlineLevel="1"/>
    <col min="20" max="20" width="6.125" style="50" customWidth="1" outlineLevel="1"/>
    <col min="21" max="25" width="6.125" style="50" hidden="1" customWidth="1" outlineLevel="1"/>
    <col min="26" max="27" width="6.125" style="50" customWidth="1" outlineLevel="1"/>
    <col min="28" max="28" width="3.625" style="50" customWidth="1" outlineLevel="1"/>
    <col min="29" max="37" width="6.125" style="50" customWidth="1"/>
    <col min="38" max="38" width="6.125" style="50" hidden="1" customWidth="1" outlineLevel="1"/>
    <col min="39" max="39" width="6.125" style="53" customWidth="1" collapsed="1"/>
    <col min="40" max="40" width="3.625" style="50" customWidth="1"/>
    <col min="41" max="41" width="7.875" style="50" hidden="1" customWidth="1"/>
    <col min="42" max="43" width="10.75" style="50" customWidth="1"/>
    <col min="44" max="44" width="10.75" style="37" customWidth="1"/>
    <col min="45" max="16384" width="10.75" style="50"/>
  </cols>
  <sheetData>
    <row r="1" spans="1:44" s="38" customFormat="1" ht="23.25" customHeight="1" x14ac:dyDescent="0.2">
      <c r="A1" s="306" t="s">
        <v>101</v>
      </c>
      <c r="B1" s="307"/>
      <c r="C1" s="507">
        <f>EB.Jahr</f>
        <v>2020</v>
      </c>
      <c r="D1" s="507"/>
      <c r="E1" s="507"/>
      <c r="F1" s="507"/>
      <c r="G1" s="507"/>
      <c r="H1" s="507"/>
      <c r="I1" s="507" t="str">
        <f>Eingabeblatt!B1</f>
        <v>Employee Time Sheet</v>
      </c>
      <c r="J1" s="507"/>
      <c r="K1" s="507"/>
      <c r="L1" s="507"/>
      <c r="M1" s="507"/>
      <c r="N1" s="507"/>
      <c r="O1" s="507"/>
      <c r="P1" s="507"/>
      <c r="Q1" s="507"/>
      <c r="R1" s="507"/>
      <c r="S1" s="507"/>
      <c r="T1" s="507"/>
      <c r="U1" s="507"/>
      <c r="V1" s="507"/>
      <c r="W1" s="507"/>
      <c r="X1" s="507"/>
      <c r="Y1" s="507"/>
      <c r="Z1" s="507"/>
      <c r="AA1" s="507"/>
      <c r="AB1" s="507"/>
      <c r="AC1" s="507"/>
      <c r="AD1" s="507"/>
      <c r="AE1" s="507"/>
      <c r="AF1" s="507"/>
      <c r="AG1" s="507"/>
      <c r="AH1" s="507"/>
      <c r="AI1" s="507"/>
      <c r="AJ1" s="507"/>
      <c r="AK1" s="308"/>
      <c r="AL1" s="308"/>
      <c r="AM1" s="308" t="str">
        <f>EB.Version</f>
        <v>Version 12.19</v>
      </c>
      <c r="AN1" s="309" t="str">
        <f>EB.Sprache</f>
        <v>EN</v>
      </c>
      <c r="AO1" s="310"/>
      <c r="AR1" s="54"/>
    </row>
    <row r="2" spans="1:44" s="38" customFormat="1" ht="15" customHeight="1" x14ac:dyDescent="0.2">
      <c r="A2" s="311" t="str">
        <f>Eingabeblatt!A3</f>
        <v>Name</v>
      </c>
      <c r="B2" s="119"/>
      <c r="C2" s="499" t="str">
        <f>IF(EB.Name="","?",EB.Name)</f>
        <v>?</v>
      </c>
      <c r="D2" s="500"/>
      <c r="E2" s="500"/>
      <c r="F2" s="500"/>
      <c r="G2" s="500"/>
      <c r="H2" s="500"/>
      <c r="I2" s="500"/>
      <c r="J2" s="500"/>
      <c r="K2" s="500"/>
      <c r="L2" s="500"/>
      <c r="M2" s="500"/>
      <c r="N2" s="500"/>
      <c r="O2" s="500"/>
      <c r="P2" s="501"/>
      <c r="Q2" s="312"/>
      <c r="R2" s="119"/>
      <c r="S2" s="119"/>
      <c r="T2" s="119"/>
      <c r="U2" s="119"/>
      <c r="V2" s="119"/>
      <c r="W2" s="119"/>
      <c r="X2" s="119"/>
      <c r="Y2" s="119"/>
      <c r="Z2" s="119"/>
      <c r="AA2" s="119"/>
      <c r="AB2" s="110"/>
      <c r="AC2" s="463" t="str">
        <f>Eingabeblatt!C5</f>
        <v>Wage Group &gt; 16</v>
      </c>
      <c r="AD2" s="473"/>
      <c r="AE2" s="473"/>
      <c r="AF2" s="473"/>
      <c r="AG2" s="464"/>
      <c r="AH2" s="483" t="str">
        <f>EB.LKgr16</f>
        <v>Yes / No</v>
      </c>
      <c r="AI2" s="484"/>
      <c r="AJ2" s="508" t="str">
        <f ca="1">IF(Eingabeblatt!E5=INDEX(T.JaNein.Bereich,1,1),IF(Eingabeblatt!F5&gt;January!Monat.Tag1,Eingabeblatt!F5,""),"")</f>
        <v/>
      </c>
      <c r="AK2" s="508"/>
      <c r="AL2" s="508"/>
      <c r="AM2" s="509"/>
      <c r="AN2" s="119"/>
      <c r="AO2" s="119"/>
      <c r="AR2" s="54"/>
    </row>
    <row r="3" spans="1:44" s="38" customFormat="1" ht="15" customHeight="1" x14ac:dyDescent="0.2">
      <c r="A3" s="311" t="str">
        <f>Eingabeblatt!H2</f>
        <v>Function</v>
      </c>
      <c r="B3" s="119"/>
      <c r="C3" s="483" t="str">
        <f>EB.Funktion</f>
        <v>Description of Function</v>
      </c>
      <c r="D3" s="484"/>
      <c r="E3" s="484"/>
      <c r="F3" s="484"/>
      <c r="G3" s="484"/>
      <c r="H3" s="484"/>
      <c r="I3" s="484"/>
      <c r="J3" s="484"/>
      <c r="K3" s="484"/>
      <c r="L3" s="484"/>
      <c r="M3" s="484"/>
      <c r="N3" s="484"/>
      <c r="O3" s="484"/>
      <c r="P3" s="485"/>
      <c r="Q3" s="313"/>
      <c r="R3" s="119"/>
      <c r="S3" s="119"/>
      <c r="T3" s="119"/>
      <c r="U3" s="119"/>
      <c r="V3" s="119"/>
      <c r="W3" s="119"/>
      <c r="X3" s="119"/>
      <c r="Y3" s="119"/>
      <c r="Z3" s="119"/>
      <c r="AA3" s="119"/>
      <c r="AB3" s="119"/>
      <c r="AC3" s="463" t="str">
        <f>Eingabeblatt!J6</f>
        <v>Supplement on Overtime entitled</v>
      </c>
      <c r="AD3" s="473"/>
      <c r="AE3" s="473"/>
      <c r="AF3" s="473"/>
      <c r="AG3" s="464"/>
      <c r="AH3" s="510" t="str">
        <f>EB.ÜZZSBerechtigt</f>
        <v>No</v>
      </c>
      <c r="AI3" s="510"/>
      <c r="AJ3" s="510"/>
      <c r="AK3" s="510"/>
      <c r="AL3" s="510"/>
      <c r="AM3" s="510"/>
      <c r="AN3" s="119"/>
      <c r="AO3" s="119"/>
      <c r="AR3" s="54"/>
    </row>
    <row r="4" spans="1:44" s="38" customFormat="1" ht="15" customHeight="1" x14ac:dyDescent="0.2">
      <c r="A4" s="311" t="str">
        <f>Eingabeblatt!H3</f>
        <v>Institute/Department</v>
      </c>
      <c r="B4" s="119"/>
      <c r="C4" s="483" t="str">
        <f>EB.Institut</f>
        <v>Institute/Department Name</v>
      </c>
      <c r="D4" s="484"/>
      <c r="E4" s="484"/>
      <c r="F4" s="484"/>
      <c r="G4" s="484"/>
      <c r="H4" s="484"/>
      <c r="I4" s="484"/>
      <c r="J4" s="484"/>
      <c r="K4" s="484"/>
      <c r="L4" s="484"/>
      <c r="M4" s="484"/>
      <c r="N4" s="484"/>
      <c r="O4" s="484"/>
      <c r="P4" s="485"/>
      <c r="Q4" s="313"/>
      <c r="R4" s="119"/>
      <c r="S4" s="119"/>
      <c r="T4" s="119"/>
      <c r="U4" s="119"/>
      <c r="V4" s="119"/>
      <c r="W4" s="119"/>
      <c r="X4" s="119"/>
      <c r="Y4" s="119"/>
      <c r="Z4" s="119"/>
      <c r="AA4" s="119"/>
      <c r="AB4" s="119"/>
      <c r="AC4" s="463" t="str">
        <f>IF(EB.WeitereAngaben="","",Eingabeblatt!C7)</f>
        <v/>
      </c>
      <c r="AD4" s="473"/>
      <c r="AE4" s="473"/>
      <c r="AF4" s="473"/>
      <c r="AG4" s="464"/>
      <c r="AH4" s="510" t="str">
        <f>IF(EB.WeitereAngaben="","",EB.WeitereAngaben)</f>
        <v/>
      </c>
      <c r="AI4" s="510"/>
      <c r="AJ4" s="510"/>
      <c r="AK4" s="510"/>
      <c r="AL4" s="510"/>
      <c r="AM4" s="510"/>
      <c r="AN4" s="119"/>
      <c r="AO4" s="119"/>
      <c r="AR4" s="54"/>
    </row>
    <row r="5" spans="1:44" s="38" customFormat="1" ht="15" customHeight="1" x14ac:dyDescent="0.2">
      <c r="A5" s="311" t="str">
        <f>Eingabeblatt!A5</f>
        <v>Employee Number</v>
      </c>
      <c r="B5" s="119"/>
      <c r="C5" s="483" t="str">
        <f>IF(EB.Personalnummer="","?",EB.Personalnummer)</f>
        <v>?</v>
      </c>
      <c r="D5" s="484"/>
      <c r="E5" s="484"/>
      <c r="F5" s="484"/>
      <c r="G5" s="484"/>
      <c r="H5" s="484"/>
      <c r="I5" s="484"/>
      <c r="J5" s="484"/>
      <c r="K5" s="484"/>
      <c r="L5" s="484"/>
      <c r="M5" s="484"/>
      <c r="N5" s="484"/>
      <c r="O5" s="484"/>
      <c r="P5" s="485"/>
      <c r="Q5" s="313"/>
      <c r="R5" s="119"/>
      <c r="S5" s="119"/>
      <c r="T5" s="119"/>
      <c r="U5" s="119"/>
      <c r="V5" s="119"/>
      <c r="W5" s="119"/>
      <c r="X5" s="119"/>
      <c r="Y5" s="119"/>
      <c r="Z5" s="119"/>
      <c r="AA5" s="119"/>
      <c r="AB5" s="119"/>
      <c r="AC5" s="119"/>
      <c r="AD5" s="119"/>
      <c r="AE5" s="119"/>
      <c r="AF5" s="119"/>
      <c r="AG5" s="119"/>
      <c r="AH5" s="119"/>
      <c r="AI5" s="119"/>
      <c r="AJ5" s="189"/>
      <c r="AK5" s="119"/>
      <c r="AL5" s="119"/>
      <c r="AM5" s="314"/>
      <c r="AN5" s="119"/>
      <c r="AO5" s="119"/>
      <c r="AR5" s="54"/>
    </row>
    <row r="6" spans="1:44" s="38" customFormat="1" ht="15" customHeight="1" x14ac:dyDescent="0.2">
      <c r="A6" s="311" t="str">
        <f>Eingabeblatt!H4</f>
        <v>Faculty</v>
      </c>
      <c r="B6" s="119"/>
      <c r="C6" s="483" t="str">
        <f>EB.Fakultaet</f>
        <v>Select Faculty</v>
      </c>
      <c r="D6" s="484"/>
      <c r="E6" s="484"/>
      <c r="F6" s="484"/>
      <c r="G6" s="484"/>
      <c r="H6" s="484"/>
      <c r="I6" s="484"/>
      <c r="J6" s="484"/>
      <c r="K6" s="484"/>
      <c r="L6" s="484"/>
      <c r="M6" s="484"/>
      <c r="N6" s="484"/>
      <c r="O6" s="484"/>
      <c r="P6" s="485"/>
      <c r="Q6" s="313"/>
      <c r="R6" s="119"/>
      <c r="S6" s="119"/>
      <c r="T6" s="119"/>
      <c r="U6" s="119"/>
      <c r="V6" s="106"/>
      <c r="W6" s="119"/>
      <c r="X6" s="119"/>
      <c r="Y6" s="119"/>
      <c r="Z6" s="119"/>
      <c r="AA6" s="119"/>
      <c r="AB6" s="119"/>
      <c r="AC6" s="119"/>
      <c r="AD6" s="119"/>
      <c r="AE6" s="119"/>
      <c r="AF6" s="119"/>
      <c r="AG6" s="119"/>
      <c r="AH6" s="119"/>
      <c r="AI6" s="119"/>
      <c r="AJ6" s="189"/>
      <c r="AK6" s="119"/>
      <c r="AL6" s="119"/>
      <c r="AM6" s="314"/>
      <c r="AN6" s="119"/>
      <c r="AO6" s="119"/>
      <c r="AR6" s="54"/>
    </row>
    <row r="7" spans="1:44" s="38" customFormat="1" ht="15" customHeight="1" x14ac:dyDescent="0.2">
      <c r="A7" s="311" t="str">
        <f>Eingabeblatt!H5</f>
        <v>Employee Category</v>
      </c>
      <c r="B7" s="119"/>
      <c r="C7" s="483" t="str">
        <f>EB.Personalkategorie</f>
        <v>Select Employee Category</v>
      </c>
      <c r="D7" s="484"/>
      <c r="E7" s="484"/>
      <c r="F7" s="484"/>
      <c r="G7" s="484"/>
      <c r="H7" s="484"/>
      <c r="I7" s="484"/>
      <c r="J7" s="484"/>
      <c r="K7" s="484"/>
      <c r="L7" s="484"/>
      <c r="M7" s="484"/>
      <c r="N7" s="484"/>
      <c r="O7" s="484"/>
      <c r="P7" s="485"/>
      <c r="Q7" s="313"/>
      <c r="R7" s="119"/>
      <c r="S7" s="119"/>
      <c r="T7" s="119"/>
      <c r="U7" s="119"/>
      <c r="V7" s="106"/>
      <c r="W7" s="119"/>
      <c r="X7" s="119"/>
      <c r="Y7" s="119"/>
      <c r="Z7" s="119"/>
      <c r="AA7" s="119"/>
      <c r="AB7" s="119"/>
      <c r="AC7" s="119"/>
      <c r="AD7" s="119"/>
      <c r="AE7" s="119"/>
      <c r="AF7" s="119"/>
      <c r="AG7" s="119"/>
      <c r="AH7" s="119"/>
      <c r="AI7" s="119"/>
      <c r="AJ7" s="189"/>
      <c r="AK7" s="119"/>
      <c r="AL7" s="119"/>
      <c r="AM7" s="314"/>
      <c r="AN7" s="119"/>
      <c r="AO7" s="119"/>
      <c r="AR7" s="54"/>
    </row>
    <row r="8" spans="1:44" s="38" customFormat="1" ht="12" customHeight="1" x14ac:dyDescent="0.2">
      <c r="A8" s="119"/>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88"/>
      <c r="AN8" s="119"/>
      <c r="AO8" s="119"/>
      <c r="AR8" s="54"/>
    </row>
    <row r="9" spans="1:44" s="38" customFormat="1" ht="12" customHeight="1" x14ac:dyDescent="0.2">
      <c r="A9" s="119"/>
      <c r="B9" s="119"/>
      <c r="C9" s="504" t="s">
        <v>112</v>
      </c>
      <c r="D9" s="505"/>
      <c r="E9" s="505"/>
      <c r="F9" s="505"/>
      <c r="G9" s="506"/>
      <c r="H9" s="119"/>
      <c r="I9" s="504" t="s">
        <v>242</v>
      </c>
      <c r="J9" s="505"/>
      <c r="K9" s="505"/>
      <c r="L9" s="505"/>
      <c r="M9" s="506"/>
      <c r="N9" s="119"/>
      <c r="O9" s="504" t="s">
        <v>243</v>
      </c>
      <c r="P9" s="506"/>
      <c r="Q9" s="119"/>
      <c r="R9" s="504" t="s">
        <v>245</v>
      </c>
      <c r="S9" s="505"/>
      <c r="T9" s="505"/>
      <c r="U9" s="505"/>
      <c r="V9" s="505"/>
      <c r="W9" s="505"/>
      <c r="X9" s="505"/>
      <c r="Y9" s="505"/>
      <c r="Z9" s="505"/>
      <c r="AA9" s="506"/>
      <c r="AB9" s="119"/>
      <c r="AC9" s="504" t="s">
        <v>244</v>
      </c>
      <c r="AD9" s="505"/>
      <c r="AE9" s="505"/>
      <c r="AF9" s="505"/>
      <c r="AG9" s="505"/>
      <c r="AH9" s="505"/>
      <c r="AI9" s="505"/>
      <c r="AJ9" s="505"/>
      <c r="AK9" s="505"/>
      <c r="AL9" s="505"/>
      <c r="AM9" s="506"/>
      <c r="AN9" s="119"/>
      <c r="AO9" s="119"/>
      <c r="AR9" s="54"/>
    </row>
    <row r="10" spans="1:44" s="55" customFormat="1" ht="165" customHeight="1" x14ac:dyDescent="0.2">
      <c r="A10" s="315"/>
      <c r="B10" s="316"/>
      <c r="C10" s="317" t="s">
        <v>126</v>
      </c>
      <c r="D10" s="317" t="s">
        <v>246</v>
      </c>
      <c r="E10" s="317" t="s">
        <v>125</v>
      </c>
      <c r="F10" s="317" t="s">
        <v>124</v>
      </c>
      <c r="G10" s="317" t="s">
        <v>127</v>
      </c>
      <c r="H10" s="316"/>
      <c r="I10" s="317" t="str">
        <f ca="1">IF(EB.Anwendung&lt;&gt;"",January!Monat.AnUeZText,"")</f>
        <v>Ordered overtime</v>
      </c>
      <c r="J10" s="317" t="str">
        <f ca="1">IF(EB.Anwendung&lt;&gt;"",January!Monat.KomUeZText,"")</f>
        <v>Compensation overtime</v>
      </c>
      <c r="K10" s="317" t="str">
        <f ca="1">IF(EB.Anwendung&lt;&gt;"",January!Monat.UeZSaldoText,"")</f>
        <v>Actual/compensated overtime</v>
      </c>
      <c r="L10" s="317" t="str">
        <f ca="1">IF(EB.Anwendung&lt;&gt;"",January!Monat.ZSText,"")</f>
        <v>Supplement 25%</v>
      </c>
      <c r="M10" s="317" t="str">
        <f ca="1">IF(EB.Anwendung&lt;&gt;"",January!Monat.UeziZSText,"")</f>
        <v>Total overtime incl. suppl.</v>
      </c>
      <c r="N10" s="316"/>
      <c r="O10" s="317" t="s">
        <v>241</v>
      </c>
      <c r="P10" s="317" t="str">
        <f ca="1">IF(EB.Anwendung&lt;&gt;"",January!Monat.KomAZText,"")</f>
        <v>Compensation working hours</v>
      </c>
      <c r="Q10" s="316"/>
      <c r="R10" s="318" t="s">
        <v>231</v>
      </c>
      <c r="S10" s="317" t="str">
        <f ca="1">IF(EB.Anwendung&lt;&gt;"",January!Monat.ein_aus_PikettText,"")</f>
        <v>Total on call standby in/out</v>
      </c>
      <c r="T10" s="317" t="str">
        <f ca="1">IF(EB.Anwendung&lt;&gt;"",January!Monat.NDText,"")</f>
        <v>Night shift</v>
      </c>
      <c r="U10" s="317" t="str">
        <f ca="1">IF(EB.Anwendung&lt;&gt;"",January!Monat.ZählerNDText,"")</f>
        <v>Counter night shift</v>
      </c>
      <c r="V10" s="317" t="str">
        <f ca="1">IF(EB.Anwendung&lt;&gt;"",January!Monat.ZZSNDText,"")</f>
        <v>Time supplement night shift</v>
      </c>
      <c r="W10" s="317" t="str">
        <f ca="1">IF(EB.Anwendung&lt;&gt;"",January!Monat.KompZZSNDText,"")</f>
        <v>Compensation TS night shift</v>
      </c>
      <c r="X10" s="317" t="str">
        <f ca="1">IF(EB.Anwendung&lt;&gt;"",January!Monat.ZZSNDText &amp; " Saldo","")</f>
        <v>Time supplement night shift Saldo</v>
      </c>
      <c r="Y10" s="317" t="str">
        <f ca="1">IF(EB.Anwendung&lt;&gt;"",January!Monat.AbendarbeitText,"")</f>
        <v>Evening work</v>
      </c>
      <c r="Z10" s="317" t="str">
        <f ca="1">IF(EB.Anwendung&lt;&gt;"",January!Monat.BDText,"")</f>
        <v>On-call duty</v>
      </c>
      <c r="AA10" s="317" t="str">
        <f ca="1">IF(EB.Anwendung&lt;&gt;"",January!Monat.SDText,"")</f>
        <v>Saturday/Sunday shift</v>
      </c>
      <c r="AB10" s="316"/>
      <c r="AC10" s="317" t="str">
        <f ca="1">IF(EB.Anwendung&lt;&gt;"",January!Monat.FerienText,"")</f>
        <v>Vacation</v>
      </c>
      <c r="AD10" s="317" t="str">
        <f ca="1">IF(EB.Anwendung&lt;&gt;"",January!Monat.ArztText,"")</f>
        <v>Consultation</v>
      </c>
      <c r="AE10" s="317" t="str">
        <f ca="1">IF(EB.Anwendung&lt;&gt;"",January!Monat.KrankText,"")</f>
        <v>Illness</v>
      </c>
      <c r="AF10" s="317" t="str">
        <f ca="1">IF(EB.Anwendung&lt;&gt;"",January!Monat.BUText,"")</f>
        <v>Work-related accident</v>
      </c>
      <c r="AG10" s="317" t="str">
        <f ca="1">IF(EB.Anwendung&lt;&gt;"",January!Monat.NBUText,"")</f>
        <v>Non-work-related accident</v>
      </c>
      <c r="AH10" s="317" t="str">
        <f ca="1">IF(EB.Anwendung&lt;&gt;"",January!Monat.MZSText,"")</f>
        <v>Military/civilian service</v>
      </c>
      <c r="AI10" s="317" t="str">
        <f ca="1">IF(EB.Anwendung&lt;&gt;"",January!Monat.WBText,"")</f>
        <v>Continuing education</v>
      </c>
      <c r="AJ10" s="317" t="str">
        <f ca="1">IF(EB.Anwendung&lt;&gt;"",January!Monat.BesUrlaubText,"")</f>
        <v>Paid leave</v>
      </c>
      <c r="AK10" s="317" t="str">
        <f ca="1">IF(EB.Anwendung&lt;&gt;"",January!Monat.UnbesUrlaubText,"")</f>
        <v>Unpaid leave</v>
      </c>
      <c r="AL10" s="317" t="str">
        <f ca="1">IF(EB.Anwendung&lt;&gt;"",January!Monat.NBText,"")</f>
        <v>Secondary employment</v>
      </c>
      <c r="AM10" s="317" t="str">
        <f ca="1">IF(EB.Anwendung&lt;&gt;"",January!Monat.DAGText,"")</f>
        <v>Seniority allowance</v>
      </c>
      <c r="AN10" s="316"/>
      <c r="AO10" s="317" t="str">
        <f ca="1">IF(EB.Anwendung&lt;&gt;"",January!Monat.ein_ausText,"")</f>
        <v>Total in/out</v>
      </c>
    </row>
    <row r="11" spans="1:44" s="55" customFormat="1" ht="12" customHeight="1" x14ac:dyDescent="0.2">
      <c r="A11" s="319"/>
      <c r="B11" s="316"/>
      <c r="C11" s="320"/>
      <c r="D11" s="320"/>
      <c r="E11" s="320"/>
      <c r="F11" s="320"/>
      <c r="G11" s="321"/>
      <c r="H11" s="316"/>
      <c r="I11" s="320"/>
      <c r="J11" s="320"/>
      <c r="K11" s="320"/>
      <c r="L11" s="320"/>
      <c r="M11" s="320"/>
      <c r="N11" s="316"/>
      <c r="O11" s="320"/>
      <c r="P11" s="321"/>
      <c r="Q11" s="316"/>
      <c r="R11" s="316"/>
      <c r="S11" s="320"/>
      <c r="T11" s="320"/>
      <c r="U11" s="320"/>
      <c r="V11" s="320"/>
      <c r="W11" s="320"/>
      <c r="X11" s="320"/>
      <c r="Y11" s="320"/>
      <c r="Z11" s="320"/>
      <c r="AA11" s="320"/>
      <c r="AB11" s="316"/>
      <c r="AC11" s="321"/>
      <c r="AD11" s="320"/>
      <c r="AE11" s="320"/>
      <c r="AF11" s="320"/>
      <c r="AG11" s="320"/>
      <c r="AH11" s="320"/>
      <c r="AI11" s="320"/>
      <c r="AJ11" s="320"/>
      <c r="AK11" s="320"/>
      <c r="AL11" s="320"/>
      <c r="AM11" s="321"/>
      <c r="AN11" s="316"/>
      <c r="AO11" s="320"/>
    </row>
    <row r="12" spans="1:44" s="38" customFormat="1" ht="15" customHeight="1" x14ac:dyDescent="0.2">
      <c r="A12" s="322" t="s">
        <v>93</v>
      </c>
      <c r="B12" s="323"/>
      <c r="C12" s="191"/>
      <c r="D12" s="136"/>
      <c r="E12" s="191"/>
      <c r="F12" s="191"/>
      <c r="G12" s="57">
        <f ca="1">EB.AZS</f>
        <v>88.07499999999996</v>
      </c>
      <c r="H12" s="136"/>
      <c r="I12" s="324"/>
      <c r="J12" s="324"/>
      <c r="K12" s="324"/>
      <c r="L12" s="324"/>
      <c r="M12" s="325"/>
      <c r="N12" s="136"/>
      <c r="O12" s="326"/>
      <c r="P12" s="16">
        <f ca="1">Eingabeblatt!L25</f>
        <v>5.25</v>
      </c>
      <c r="Q12" s="136"/>
      <c r="R12" s="327"/>
      <c r="S12" s="324"/>
      <c r="T12" s="324"/>
      <c r="U12" s="328"/>
      <c r="V12" s="324"/>
      <c r="W12" s="324"/>
      <c r="X12" s="325"/>
      <c r="Y12" s="324"/>
      <c r="Z12" s="324"/>
      <c r="AA12" s="324"/>
      <c r="AB12" s="136"/>
      <c r="AC12" s="56">
        <f ca="1">Eingabeblatt!B33</f>
        <v>0</v>
      </c>
      <c r="AD12" s="329"/>
      <c r="AE12" s="324"/>
      <c r="AF12" s="324"/>
      <c r="AG12" s="324"/>
      <c r="AH12" s="324"/>
      <c r="AI12" s="324"/>
      <c r="AJ12" s="324"/>
      <c r="AK12" s="324"/>
      <c r="AL12" s="330"/>
      <c r="AM12" s="56">
        <f>Eingabeblatt!B32</f>
        <v>0</v>
      </c>
      <c r="AN12" s="136"/>
      <c r="AO12" s="191"/>
    </row>
    <row r="13" spans="1:44" s="38" customFormat="1" ht="15" customHeight="1" x14ac:dyDescent="0.2">
      <c r="A13" s="331" t="s">
        <v>50</v>
      </c>
      <c r="B13" s="323"/>
      <c r="C13" s="191"/>
      <c r="D13" s="136"/>
      <c r="E13" s="191"/>
      <c r="F13" s="136"/>
      <c r="G13" s="251"/>
      <c r="H13" s="136"/>
      <c r="I13" s="324"/>
      <c r="J13" s="324"/>
      <c r="K13" s="324"/>
      <c r="L13" s="330"/>
      <c r="M13" s="16">
        <f>EB.UeZ</f>
        <v>0</v>
      </c>
      <c r="N13" s="136"/>
      <c r="O13" s="20">
        <f>EB.MMS</f>
        <v>0</v>
      </c>
      <c r="P13" s="332"/>
      <c r="Q13" s="136"/>
      <c r="R13" s="327"/>
      <c r="S13" s="324"/>
      <c r="T13" s="324"/>
      <c r="U13" s="328"/>
      <c r="V13" s="324"/>
      <c r="W13" s="330"/>
      <c r="X13" s="16">
        <f>EB.ZZNd</f>
        <v>0</v>
      </c>
      <c r="Y13" s="329"/>
      <c r="Z13" s="324"/>
      <c r="AA13" s="324"/>
      <c r="AB13" s="136"/>
      <c r="AC13" s="16">
        <f>EB.FerienBer</f>
        <v>0</v>
      </c>
      <c r="AD13" s="329"/>
      <c r="AE13" s="324"/>
      <c r="AF13" s="324"/>
      <c r="AG13" s="324"/>
      <c r="AH13" s="324"/>
      <c r="AI13" s="324"/>
      <c r="AJ13" s="324"/>
      <c r="AK13" s="324"/>
      <c r="AL13" s="330"/>
      <c r="AM13" s="16">
        <f>EB.DAGber</f>
        <v>0</v>
      </c>
      <c r="AN13" s="136"/>
      <c r="AO13" s="191"/>
    </row>
    <row r="14" spans="1:44" s="38" customFormat="1" ht="12" customHeight="1" x14ac:dyDescent="0.2">
      <c r="A14" s="333"/>
      <c r="B14" s="136"/>
      <c r="C14" s="326"/>
      <c r="D14" s="221"/>
      <c r="E14" s="326"/>
      <c r="F14" s="326"/>
      <c r="G14" s="326"/>
      <c r="H14" s="136"/>
      <c r="I14" s="326"/>
      <c r="J14" s="326"/>
      <c r="K14" s="326"/>
      <c r="L14" s="326"/>
      <c r="M14" s="334"/>
      <c r="N14" s="136"/>
      <c r="O14" s="334"/>
      <c r="P14" s="326"/>
      <c r="Q14" s="136"/>
      <c r="R14" s="335"/>
      <c r="S14" s="326"/>
      <c r="T14" s="326"/>
      <c r="U14" s="336"/>
      <c r="V14" s="326"/>
      <c r="W14" s="326"/>
      <c r="X14" s="334"/>
      <c r="Y14" s="326"/>
      <c r="Z14" s="326"/>
      <c r="AA14" s="326"/>
      <c r="AB14" s="136"/>
      <c r="AC14" s="334"/>
      <c r="AD14" s="326"/>
      <c r="AE14" s="326"/>
      <c r="AF14" s="326"/>
      <c r="AG14" s="326"/>
      <c r="AH14" s="326"/>
      <c r="AI14" s="326"/>
      <c r="AJ14" s="326"/>
      <c r="AK14" s="326"/>
      <c r="AL14" s="326"/>
      <c r="AM14" s="334"/>
      <c r="AN14" s="136"/>
      <c r="AO14" s="326"/>
    </row>
    <row r="15" spans="1:44" s="38" customFormat="1" ht="15" customHeight="1" x14ac:dyDescent="0.2">
      <c r="A15" s="337" t="str">
        <f>INDEX(EB.Monate.Bereich,1,0)</f>
        <v>January</v>
      </c>
      <c r="B15" s="209"/>
      <c r="C15" s="20">
        <f t="shared" ref="C15:C26" ca="1" si="0">F15+E15</f>
        <v>0</v>
      </c>
      <c r="D15" s="85">
        <f>IF(Eingabeblatt!H13="","-     ",Eingabeblatt!H13)</f>
        <v>100</v>
      </c>
      <c r="E15" s="20">
        <f ca="1">Eingabeblatt!I13</f>
        <v>7.349999999999997</v>
      </c>
      <c r="F15" s="20">
        <f ca="1">IF(EB.Anwendung&lt;&gt;"",January!Monat.Soll_Ist_UeVM,"")</f>
        <v>-7.349999999999997</v>
      </c>
      <c r="G15" s="20">
        <f t="shared" ref="G15:G26" ca="1" si="1">IF(AND(EB.UJEintritt&lt;&gt;"",MONTH(EB.UJEintritt)&gt;ROW(C15)-ROW($C$15)+1),0,($G$12-SUM(OFFSET($C$15,0,0,ROW(C15)-ROW($C$15)+1))))</f>
        <v>88.07499999999996</v>
      </c>
      <c r="H15" s="323"/>
      <c r="I15" s="16">
        <f ca="1">IF(EB.Anwendung&lt;&gt;"",January!Monat.AnUeZ.Total,"")</f>
        <v>0</v>
      </c>
      <c r="J15" s="16">
        <f ca="1">IF(EB.Anwendung&lt;&gt;"",January!Monat.KomUeZ.Total,"")</f>
        <v>0</v>
      </c>
      <c r="K15" s="16" t="str">
        <f ca="1">IF(IF(EB.Anwendung&lt;&gt;"",January!Monat.UeZ.Saldo,"")&lt;=0,"-     ",IF(EB.Anwendung&lt;&gt;"",January!Monat.UeZ.Saldo,""))</f>
        <v xml:space="preserve">-     </v>
      </c>
      <c r="L15" s="16" t="str">
        <f ca="1">IF(IF(EB.Anwendung&lt;&gt;"",January!Monat.ZS.Total,"")&lt;=0,"-     ",IF(EB.Anwendung&lt;&gt;"",January!Monat.ZS.Total,""))</f>
        <v xml:space="preserve">-     </v>
      </c>
      <c r="M15" s="16">
        <f ca="1">IF(EB.Anwendung&lt;&gt;"",January!Monat.UeZ.Total,"")</f>
        <v>0</v>
      </c>
      <c r="N15" s="136"/>
      <c r="O15" s="20">
        <f ca="1">IF(EB.Anwendung&lt;&gt;"",January!Monat.Soll_Ist_UeVM-January!Monat.AnUeZ.Total,"")</f>
        <v>-7.349999999999997</v>
      </c>
      <c r="P15" s="16">
        <f ca="1">IF(EB.Anwendung&lt;&gt;"",January!Monat.KomAZ.Total,"")</f>
        <v>0</v>
      </c>
      <c r="Q15" s="213"/>
      <c r="R15" s="82" t="str">
        <f ca="1">IF(EB.Anwendung&lt;&gt;"",January!Monat.Pikett.Zähler,"")</f>
        <v>0 / 0 / 0</v>
      </c>
      <c r="S15" s="16">
        <f ca="1">IF(EB.Anwendung&lt;&gt;"",January!Monat.ein_aus_Pikett.Total,"")</f>
        <v>0</v>
      </c>
      <c r="T15" s="16">
        <f ca="1">IF(EB.Anwendung&lt;&gt;"",January!Monat.ND.Total,"")</f>
        <v>0</v>
      </c>
      <c r="U15" s="82">
        <f ca="1">IF(EB.Anwendung&lt;&gt;"",January!Monat.ZählerND.Total,"")</f>
        <v>0</v>
      </c>
      <c r="V15" s="16">
        <f ca="1">IF(EB.Anwendung&lt;&gt;"",January!Monat.ZZSND.Total,"")</f>
        <v>0</v>
      </c>
      <c r="W15" s="16">
        <f ca="1">IF(EB.Anwendung&lt;&gt;"",January!Monat.KompZZSND.Total,"")</f>
        <v>0</v>
      </c>
      <c r="X15" s="16">
        <f ca="1">IF(EB.Anwendung&lt;&gt;"",January!Monat.ZZNdUe,"")</f>
        <v>0</v>
      </c>
      <c r="Y15" s="16">
        <f ca="1">IF(EB.Anwendung&lt;&gt;"",January!Monat.Abendarbeit.Total,"")</f>
        <v>0</v>
      </c>
      <c r="Z15" s="16">
        <f ca="1">IF(EB.Anwendung&lt;&gt;"",January!Monat.BD.Total,"")</f>
        <v>0</v>
      </c>
      <c r="AA15" s="16">
        <f ca="1">IF(EB.Anwendung&lt;&gt;"",January!Monat.SD.Total,"")</f>
        <v>0</v>
      </c>
      <c r="AB15" s="209"/>
      <c r="AC15" s="16">
        <f ca="1">IF(IF(EB.Anwendung&lt;&gt;"",January!Monat.FerienKor.Total,"")="+",IF(EB.Anwendung&lt;&gt;"",January!Monat.Ferien.Total,"")-IF(EB.Anwendung&lt;&gt;"",January!Monat.FerienKor.Total,""),IF(EB.Anwendung&lt;&gt;"",January!Monat.Ferien.Total,"")+IF(EB.Anwendung&lt;&gt;"",January!Monat.FerienKor.Total,""))</f>
        <v>0</v>
      </c>
      <c r="AD15" s="16">
        <f ca="1">IF(EB.Anwendung&lt;&gt;"",January!Monat.AB.Total,"")</f>
        <v>0</v>
      </c>
      <c r="AE15" s="16">
        <f ca="1">IF(EB.Anwendung&lt;&gt;"",January!Monat.Krank.Total,"")</f>
        <v>0</v>
      </c>
      <c r="AF15" s="16">
        <f ca="1">IF(EB.Anwendung&lt;&gt;"",January!Monat.BU.Total,"")</f>
        <v>0</v>
      </c>
      <c r="AG15" s="16">
        <f ca="1">IF(EB.Anwendung&lt;&gt;"",January!Monat.NBU.Total,"")</f>
        <v>0</v>
      </c>
      <c r="AH15" s="16">
        <f ca="1">IF(EB.Anwendung&lt;&gt;"",January!Monat.Militaer.Total,"")</f>
        <v>0</v>
      </c>
      <c r="AI15" s="16">
        <f ca="1">IF(EB.Anwendung&lt;&gt;"",January!Monat.WB.Total,"")</f>
        <v>0</v>
      </c>
      <c r="AJ15" s="16">
        <f ca="1">IF(EB.Anwendung&lt;&gt;"",January!Monat.BesU.Total,"")</f>
        <v>0</v>
      </c>
      <c r="AK15" s="16">
        <f ca="1">IF(EB.Anwendung&lt;&gt;"",January!Monat.UnbesU.Total,"")</f>
        <v>0</v>
      </c>
      <c r="AL15" s="16">
        <f ca="1">IF(EB.Anwendung&lt;&gt;"",January!Monat.NB.Total,"")</f>
        <v>0</v>
      </c>
      <c r="AM15" s="16">
        <f ca="1">IF(EB.Anwendung&lt;&gt;"",January!Monat.DAG.Total,"")</f>
        <v>0</v>
      </c>
      <c r="AN15" s="323"/>
      <c r="AO15" s="16">
        <f ca="1">IF(EB.Anwendung&lt;&gt;"",January!Monat.ein_aus.Total,"")</f>
        <v>0</v>
      </c>
    </row>
    <row r="16" spans="1:44" s="38" customFormat="1" ht="15" customHeight="1" x14ac:dyDescent="0.2">
      <c r="A16" s="337" t="str">
        <f>INDEX(EB.Monate.Bereich,2,0)</f>
        <v>February</v>
      </c>
      <c r="B16" s="209"/>
      <c r="C16" s="20">
        <f t="shared" ca="1" si="0"/>
        <v>0</v>
      </c>
      <c r="D16" s="85">
        <f>IF(Eingabeblatt!H14="","-     ",Eingabeblatt!H14)</f>
        <v>100</v>
      </c>
      <c r="E16" s="20">
        <f ca="1">Eingabeblatt!I14</f>
        <v>6.9999999999999973</v>
      </c>
      <c r="F16" s="20">
        <f ca="1">IF(EB.Anwendung&lt;&gt;"",February!Monat.Soll_Ist_UeVM,"")</f>
        <v>-6.9999999999999973</v>
      </c>
      <c r="G16" s="20">
        <f t="shared" ca="1" si="1"/>
        <v>88.07499999999996</v>
      </c>
      <c r="H16" s="323"/>
      <c r="I16" s="16">
        <f ca="1">IF(EB.Anwendung&lt;&gt;"",February!Monat.AnUeZ.Total,"")</f>
        <v>0</v>
      </c>
      <c r="J16" s="16">
        <f ca="1">IF(EB.Anwendung&lt;&gt;"",February!Monat.KomUeZ.Total,"")</f>
        <v>0</v>
      </c>
      <c r="K16" s="16" t="str">
        <f ca="1">IF(IF(EB.Anwendung&lt;&gt;"",February!Monat.UeZ.Saldo,"")&lt;=0,"-     ",IF(EB.Anwendung&lt;&gt;"",February!Monat.UeZ.Saldo,""))</f>
        <v xml:space="preserve">-     </v>
      </c>
      <c r="L16" s="16" t="str">
        <f ca="1">IF(IF(EB.Anwendung&lt;&gt;"",February!Monat.ZS.Total,"")&lt;=0,"-     ",IF(EB.Anwendung&lt;&gt;"",February!Monat.ZS.Total,""))</f>
        <v xml:space="preserve">-     </v>
      </c>
      <c r="M16" s="16">
        <f ca="1">IF(EB.Anwendung&lt;&gt;"",February!Monat.UeZ.Total,"")</f>
        <v>0</v>
      </c>
      <c r="N16" s="136"/>
      <c r="O16" s="20">
        <f ca="1">IF(EB.Anwendung&lt;&gt;"",February!Monat.Soll_Ist_UeVM-February!Monat.AnUeZ.Total,"")</f>
        <v>-6.9999999999999973</v>
      </c>
      <c r="P16" s="16">
        <f ca="1">IF(EB.Anwendung&lt;&gt;"",February!Monat.KomAZ.Total,"")</f>
        <v>0</v>
      </c>
      <c r="Q16" s="213"/>
      <c r="R16" s="82" t="str">
        <f ca="1">IF(EB.Anwendung&lt;&gt;"",February!Monat.Pikett.Zähler,"")</f>
        <v>0 / 0 / 0</v>
      </c>
      <c r="S16" s="16">
        <f ca="1">IF(EB.Anwendung&lt;&gt;"",February!Monat.ein_aus_Pikett.Total,"")</f>
        <v>0</v>
      </c>
      <c r="T16" s="16">
        <f ca="1">IF(EB.Anwendung&lt;&gt;"",February!Monat.ND.Total,"")</f>
        <v>0</v>
      </c>
      <c r="U16" s="82">
        <f ca="1">IF(EB.Anwendung&lt;&gt;"",February!Monat.ZählerND.Total,"")</f>
        <v>0</v>
      </c>
      <c r="V16" s="16">
        <f ca="1">IF(EB.Anwendung&lt;&gt;"",February!Monat.ZZSND.Total,"")</f>
        <v>0</v>
      </c>
      <c r="W16" s="16">
        <f ca="1">IF(EB.Anwendung&lt;&gt;"",February!Monat.KompZZSND.Total,"")</f>
        <v>0</v>
      </c>
      <c r="X16" s="16">
        <f ca="1">IF(EB.Anwendung&lt;&gt;"",February!Monat.ZZNdUe,"")</f>
        <v>0</v>
      </c>
      <c r="Y16" s="16">
        <f ca="1">IF(EB.Anwendung&lt;&gt;"",February!Monat.Abendarbeit.Total,"")</f>
        <v>0</v>
      </c>
      <c r="Z16" s="16">
        <f ca="1">IF(EB.Anwendung&lt;&gt;"",February!Monat.BD.Total,"")</f>
        <v>0</v>
      </c>
      <c r="AA16" s="16">
        <f ca="1">IF(EB.Anwendung&lt;&gt;"",February!Monat.SD.Total,"")</f>
        <v>0</v>
      </c>
      <c r="AB16" s="209"/>
      <c r="AC16" s="16">
        <f ca="1">IF(IF(EB.Anwendung&lt;&gt;"",February!Monat.FerienKor.Total,"")="+",IF(EB.Anwendung&lt;&gt;"",February!Monat.Ferien.Total,"")-IF(EB.Anwendung&lt;&gt;"",February!Monat.FerienKor.Total,""),IF(EB.Anwendung&lt;&gt;"",February!Monat.Ferien.Total,"")+IF(EB.Anwendung&lt;&gt;"",February!Monat.FerienKor.Total,""))</f>
        <v>0</v>
      </c>
      <c r="AD16" s="16">
        <f ca="1">IF(EB.Anwendung&lt;&gt;"",February!Monat.AB.Total,"")</f>
        <v>0</v>
      </c>
      <c r="AE16" s="16">
        <f ca="1">IF(EB.Anwendung&lt;&gt;"",February!Monat.Krank.Total,"")</f>
        <v>0</v>
      </c>
      <c r="AF16" s="16">
        <f ca="1">IF(EB.Anwendung&lt;&gt;"",February!Monat.BU.Total,"")</f>
        <v>0</v>
      </c>
      <c r="AG16" s="16">
        <f ca="1">IF(EB.Anwendung&lt;&gt;"",February!Monat.NBU.Total,"")</f>
        <v>0</v>
      </c>
      <c r="AH16" s="16">
        <f ca="1">IF(EB.Anwendung&lt;&gt;"",February!Monat.Militaer.Total,"")</f>
        <v>0</v>
      </c>
      <c r="AI16" s="16">
        <f ca="1">IF(EB.Anwendung&lt;&gt;"",February!Monat.WB.Total,"")</f>
        <v>0</v>
      </c>
      <c r="AJ16" s="16">
        <f ca="1">IF(EB.Anwendung&lt;&gt;"",February!Monat.BesU.Total,"")</f>
        <v>0</v>
      </c>
      <c r="AK16" s="16">
        <f ca="1">IF(EB.Anwendung&lt;&gt;"",February!Monat.UnbesU.Total,"")</f>
        <v>0</v>
      </c>
      <c r="AL16" s="16">
        <f ca="1">IF(EB.Anwendung&lt;&gt;"",February!Monat.NB.Total,"")</f>
        <v>0</v>
      </c>
      <c r="AM16" s="16">
        <f ca="1">IF(EB.Anwendung&lt;&gt;"",February!Monat.DAG.Total,"")</f>
        <v>0</v>
      </c>
      <c r="AN16" s="323"/>
      <c r="AO16" s="16">
        <f ca="1">IF(EB.Anwendung&lt;&gt;"",February!Monat.ein_aus.Total,"")</f>
        <v>0</v>
      </c>
    </row>
    <row r="17" spans="1:45" s="38" customFormat="1" ht="15" customHeight="1" x14ac:dyDescent="0.2">
      <c r="A17" s="337" t="str">
        <f>INDEX(EB.Monate.Bereich,3,0)</f>
        <v>March</v>
      </c>
      <c r="B17" s="209"/>
      <c r="C17" s="20">
        <f t="shared" ca="1" si="0"/>
        <v>0</v>
      </c>
      <c r="D17" s="85">
        <f>IF(Eingabeblatt!H15="","-     ",Eingabeblatt!H15)</f>
        <v>100</v>
      </c>
      <c r="E17" s="20">
        <f ca="1">Eingabeblatt!I15</f>
        <v>7.6999999999999966</v>
      </c>
      <c r="F17" s="20">
        <f ca="1">IF(EB.Anwendung&lt;&gt;"",March!Monat.Soll_Ist_UeVM,"")</f>
        <v>-7.6999999999999966</v>
      </c>
      <c r="G17" s="20">
        <f t="shared" ca="1" si="1"/>
        <v>88.07499999999996</v>
      </c>
      <c r="H17" s="323"/>
      <c r="I17" s="16">
        <f ca="1">IF(EB.Anwendung&lt;&gt;"",March!Monat.AnUeZ.Total,"")</f>
        <v>0</v>
      </c>
      <c r="J17" s="16">
        <f ca="1">IF(EB.Anwendung&lt;&gt;"",March!Monat.KomUeZ.Total,"")</f>
        <v>0</v>
      </c>
      <c r="K17" s="16" t="str">
        <f ca="1">IF(IF(EB.Anwendung&lt;&gt;"",March!Monat.UeZ.Saldo,"")&lt;=0,"-     ",IF(EB.Anwendung&lt;&gt;"",March!Monat.UeZ.Saldo,""))</f>
        <v xml:space="preserve">-     </v>
      </c>
      <c r="L17" s="16" t="str">
        <f ca="1">IF(IF(EB.Anwendung&lt;&gt;"",March!Monat.ZS.Total,"")&lt;=0,"-     ",IF(EB.Anwendung&lt;&gt;"",March!Monat.ZS.Total,""))</f>
        <v xml:space="preserve">-     </v>
      </c>
      <c r="M17" s="16">
        <f ca="1">IF(EB.Anwendung&lt;&gt;"",March!Monat.UeZ.Total,"")</f>
        <v>0</v>
      </c>
      <c r="N17" s="136"/>
      <c r="O17" s="20">
        <f ca="1">IF(EB.Anwendung&lt;&gt;"",March!Monat.Soll_Ist_UeVM-March!Monat.AnUeZ.Total,"")</f>
        <v>-7.6999999999999966</v>
      </c>
      <c r="P17" s="16">
        <f ca="1">IF(EB.Anwendung&lt;&gt;"",March!Monat.KomAZ.Total,"")</f>
        <v>0</v>
      </c>
      <c r="Q17" s="213"/>
      <c r="R17" s="82" t="str">
        <f ca="1">IF(EB.Anwendung&lt;&gt;"",March!Monat.Pikett.Zähler,"")</f>
        <v>0 / 0 / 0</v>
      </c>
      <c r="S17" s="16">
        <f ca="1">IF(EB.Anwendung&lt;&gt;"",March!Monat.ein_aus_Pikett.Total,"")</f>
        <v>0</v>
      </c>
      <c r="T17" s="16">
        <f ca="1">IF(EB.Anwendung&lt;&gt;"",March!Monat.ND.Total,"")</f>
        <v>0</v>
      </c>
      <c r="U17" s="82">
        <f ca="1">IF(EB.Anwendung&lt;&gt;"",March!Monat.ZählerND.Total,"")</f>
        <v>0</v>
      </c>
      <c r="V17" s="16">
        <f ca="1">IF(EB.Anwendung&lt;&gt;"",March!Monat.ZZSND.Total,"")</f>
        <v>0</v>
      </c>
      <c r="W17" s="16">
        <f ca="1">IF(EB.Anwendung&lt;&gt;"",March!Monat.KompZZSND.Total,"")</f>
        <v>0</v>
      </c>
      <c r="X17" s="16">
        <f ca="1">IF(EB.Anwendung&lt;&gt;"",March!Monat.ZZNdUe,"")</f>
        <v>0</v>
      </c>
      <c r="Y17" s="16">
        <f ca="1">IF(EB.Anwendung&lt;&gt;"",March!Monat.Abendarbeit.Total,"")</f>
        <v>0</v>
      </c>
      <c r="Z17" s="16">
        <f ca="1">IF(EB.Anwendung&lt;&gt;"",March!Monat.BD.Total,"")</f>
        <v>0</v>
      </c>
      <c r="AA17" s="16">
        <f ca="1">IF(EB.Anwendung&lt;&gt;"",March!Monat.SD.Total,"")</f>
        <v>0</v>
      </c>
      <c r="AB17" s="209"/>
      <c r="AC17" s="16">
        <f ca="1">IF(IF(EB.Anwendung&lt;&gt;"",March!Monat.FerienKor.Total,"")="+",IF(EB.Anwendung&lt;&gt;"",March!Monat.Ferien.Total,"")-IF(EB.Anwendung&lt;&gt;"",March!Monat.FerienKor.Total,""),IF(EB.Anwendung&lt;&gt;"",March!Monat.Ferien.Total,"")+IF(EB.Anwendung&lt;&gt;"",March!Monat.FerienKor.Total,""))</f>
        <v>0</v>
      </c>
      <c r="AD17" s="16">
        <f ca="1">IF(EB.Anwendung&lt;&gt;"",March!Monat.AB.Total,"")</f>
        <v>0</v>
      </c>
      <c r="AE17" s="16">
        <f ca="1">IF(EB.Anwendung&lt;&gt;"",March!Monat.Krank.Total,"")</f>
        <v>0</v>
      </c>
      <c r="AF17" s="16">
        <f ca="1">IF(EB.Anwendung&lt;&gt;"",March!Monat.BU.Total,"")</f>
        <v>0</v>
      </c>
      <c r="AG17" s="16">
        <f ca="1">IF(EB.Anwendung&lt;&gt;"",March!Monat.NBU.Total,"")</f>
        <v>0</v>
      </c>
      <c r="AH17" s="16">
        <f ca="1">IF(EB.Anwendung&lt;&gt;"",March!Monat.Militaer.Total,"")</f>
        <v>0</v>
      </c>
      <c r="AI17" s="16">
        <f ca="1">IF(EB.Anwendung&lt;&gt;"",March!Monat.WB.Total,"")</f>
        <v>0</v>
      </c>
      <c r="AJ17" s="16">
        <f ca="1">IF(EB.Anwendung&lt;&gt;"",March!Monat.BesU.Total,"")</f>
        <v>0</v>
      </c>
      <c r="AK17" s="16">
        <f ca="1">IF(EB.Anwendung&lt;&gt;"",March!Monat.UnbesU.Total,"")</f>
        <v>0</v>
      </c>
      <c r="AL17" s="16">
        <f ca="1">IF(EB.Anwendung&lt;&gt;"",March!Monat.NB.Total,"")</f>
        <v>0</v>
      </c>
      <c r="AM17" s="16">
        <f ca="1">IF(EB.Anwendung&lt;&gt;"",March!Monat.DAG.Total,"")</f>
        <v>0</v>
      </c>
      <c r="AN17" s="323"/>
      <c r="AO17" s="16">
        <f ca="1">IF(EB.Anwendung&lt;&gt;"",March!Monat.ein_aus.Total,"")</f>
        <v>0</v>
      </c>
    </row>
    <row r="18" spans="1:45" s="38" customFormat="1" ht="15" customHeight="1" x14ac:dyDescent="0.2">
      <c r="A18" s="337" t="str">
        <f>INDEX(EB.Monate.Bereich,4,0)</f>
        <v>April</v>
      </c>
      <c r="B18" s="209"/>
      <c r="C18" s="20">
        <f t="shared" ca="1" si="0"/>
        <v>0</v>
      </c>
      <c r="D18" s="85">
        <f>IF(Eingabeblatt!H16="","-     ",Eingabeblatt!H16)</f>
        <v>100</v>
      </c>
      <c r="E18" s="20">
        <f ca="1">Eingabeblatt!I16</f>
        <v>6.7249999999999979</v>
      </c>
      <c r="F18" s="20">
        <f ca="1">IF(EB.Anwendung&lt;&gt;"",April!Monat.Soll_Ist_UeVM,"")</f>
        <v>-6.7249999999999979</v>
      </c>
      <c r="G18" s="20">
        <f t="shared" ca="1" si="1"/>
        <v>88.07499999999996</v>
      </c>
      <c r="H18" s="323"/>
      <c r="I18" s="16">
        <f ca="1">IF(EB.Anwendung&lt;&gt;"",April!Monat.AnUeZ.Total,"")</f>
        <v>0</v>
      </c>
      <c r="J18" s="16">
        <f ca="1">IF(EB.Anwendung&lt;&gt;"",April!Monat.KomUeZ.Total,"")</f>
        <v>0</v>
      </c>
      <c r="K18" s="16" t="str">
        <f ca="1">IF(IF(EB.Anwendung&lt;&gt;"",April!Monat.UeZ.Saldo,"")&lt;=0,"-     ",IF(EB.Anwendung&lt;&gt;"",April!Monat.UeZ.Saldo,""))</f>
        <v xml:space="preserve">-     </v>
      </c>
      <c r="L18" s="16" t="str">
        <f ca="1">IF(IF(EB.Anwendung&lt;&gt;"",April!Monat.ZS.Total,"")&lt;=0,"-     ",IF(EB.Anwendung&lt;&gt;"",April!Monat.ZS.Total,""))</f>
        <v xml:space="preserve">-     </v>
      </c>
      <c r="M18" s="16">
        <f ca="1">IF(EB.Anwendung&lt;&gt;"",April!Monat.UeZ.Total,"")</f>
        <v>0</v>
      </c>
      <c r="N18" s="136"/>
      <c r="O18" s="20">
        <f ca="1">IF(EB.Anwendung&lt;&gt;"",April!Monat.Soll_Ist_UeVM-April!Monat.AnUeZ.Total,"")</f>
        <v>-6.7249999999999979</v>
      </c>
      <c r="P18" s="16">
        <f ca="1">IF(EB.Anwendung&lt;&gt;"",April!Monat.KomAZ.Total,"")</f>
        <v>0</v>
      </c>
      <c r="Q18" s="213"/>
      <c r="R18" s="82" t="str">
        <f ca="1">IF(EB.Anwendung&lt;&gt;"",April!Monat.Pikett.Zähler,"")</f>
        <v>0 / 0 / 0</v>
      </c>
      <c r="S18" s="16">
        <f ca="1">IF(EB.Anwendung&lt;&gt;"",April!Monat.ein_aus_Pikett.Total,"")</f>
        <v>0</v>
      </c>
      <c r="T18" s="16">
        <f ca="1">IF(EB.Anwendung&lt;&gt;"",April!Monat.ND.Total,"")</f>
        <v>0</v>
      </c>
      <c r="U18" s="82">
        <f ca="1">IF(EB.Anwendung&lt;&gt;"",April!Monat.ZählerND.Total,"")</f>
        <v>0</v>
      </c>
      <c r="V18" s="16">
        <f ca="1">IF(EB.Anwendung&lt;&gt;"",April!Monat.ZZSND.Total,"")</f>
        <v>0</v>
      </c>
      <c r="W18" s="16">
        <f ca="1">IF(EB.Anwendung&lt;&gt;"",April!Monat.KompZZSND.Total,"")</f>
        <v>0</v>
      </c>
      <c r="X18" s="16">
        <f ca="1">IF(EB.Anwendung&lt;&gt;"",April!Monat.ZZNdUe,"")</f>
        <v>0</v>
      </c>
      <c r="Y18" s="16">
        <f ca="1">IF(EB.Anwendung&lt;&gt;"",April!Monat.Abendarbeit.Total,"")</f>
        <v>0</v>
      </c>
      <c r="Z18" s="16">
        <f ca="1">IF(EB.Anwendung&lt;&gt;"",April!Monat.BD.Total,"")</f>
        <v>0</v>
      </c>
      <c r="AA18" s="16">
        <f ca="1">IF(EB.Anwendung&lt;&gt;"",April!Monat.SD.Total,"")</f>
        <v>0</v>
      </c>
      <c r="AB18" s="209"/>
      <c r="AC18" s="16">
        <f ca="1">IF(IF(EB.Anwendung&lt;&gt;"",April!Monat.FerienKor.Total,"")="+",IF(EB.Anwendung&lt;&gt;"",April!Monat.Ferien.Total,"")-IF(EB.Anwendung&lt;&gt;"",April!Monat.FerienKor.Total,""),IF(EB.Anwendung&lt;&gt;"",April!Monat.Ferien.Total,"")+IF(EB.Anwendung&lt;&gt;"",April!Monat.FerienKor.Total,""))</f>
        <v>0</v>
      </c>
      <c r="AD18" s="16">
        <f ca="1">IF(EB.Anwendung&lt;&gt;"",April!Monat.AB.Total,"")</f>
        <v>0</v>
      </c>
      <c r="AE18" s="16">
        <f ca="1">IF(EB.Anwendung&lt;&gt;"",April!Monat.Krank.Total,"")</f>
        <v>0</v>
      </c>
      <c r="AF18" s="16">
        <f ca="1">IF(EB.Anwendung&lt;&gt;"",April!Monat.BU.Total,"")</f>
        <v>0</v>
      </c>
      <c r="AG18" s="16">
        <f ca="1">IF(EB.Anwendung&lt;&gt;"",April!Monat.NBU.Total,"")</f>
        <v>0</v>
      </c>
      <c r="AH18" s="16">
        <f ca="1">IF(EB.Anwendung&lt;&gt;"",April!Monat.Militaer.Total,"")</f>
        <v>0</v>
      </c>
      <c r="AI18" s="16">
        <f ca="1">IF(EB.Anwendung&lt;&gt;"",April!Monat.WB.Total,"")</f>
        <v>0</v>
      </c>
      <c r="AJ18" s="16">
        <f ca="1">IF(EB.Anwendung&lt;&gt;"",April!Monat.BesU.Total,"")</f>
        <v>0</v>
      </c>
      <c r="AK18" s="16">
        <f ca="1">IF(EB.Anwendung&lt;&gt;"",April!Monat.UnbesU.Total,"")</f>
        <v>0</v>
      </c>
      <c r="AL18" s="16">
        <f ca="1">IF(EB.Anwendung&lt;&gt;"",April!Monat.NB.Total,"")</f>
        <v>0</v>
      </c>
      <c r="AM18" s="16">
        <f ca="1">IF(EB.Anwendung&lt;&gt;"",April!Monat.DAG.Total,"")</f>
        <v>0</v>
      </c>
      <c r="AN18" s="323"/>
      <c r="AO18" s="16">
        <f ca="1">IF(EB.Anwendung&lt;&gt;"",April!Monat.ein_aus.Total,"")</f>
        <v>0</v>
      </c>
    </row>
    <row r="19" spans="1:45" s="38" customFormat="1" ht="15" customHeight="1" x14ac:dyDescent="0.2">
      <c r="A19" s="337" t="str">
        <f>INDEX(EB.Monate.Bereich,5,0)</f>
        <v>May</v>
      </c>
      <c r="B19" s="209"/>
      <c r="C19" s="20">
        <f t="shared" ca="1" si="0"/>
        <v>0</v>
      </c>
      <c r="D19" s="85">
        <f>IF(Eingabeblatt!H17="","-     ",Eingabeblatt!H17)</f>
        <v>100</v>
      </c>
      <c r="E19" s="20">
        <f ca="1">Eingabeblatt!I17</f>
        <v>6.549999999999998</v>
      </c>
      <c r="F19" s="20">
        <f ca="1">IF(EB.Anwendung&lt;&gt;"",May!Monat.Soll_Ist_UeVM,"")</f>
        <v>-6.549999999999998</v>
      </c>
      <c r="G19" s="20">
        <f t="shared" ca="1" si="1"/>
        <v>88.07499999999996</v>
      </c>
      <c r="H19" s="323"/>
      <c r="I19" s="16">
        <f ca="1">IF(EB.Anwendung&lt;&gt;"",May!Monat.AnUeZ.Total,"")</f>
        <v>0</v>
      </c>
      <c r="J19" s="16">
        <f ca="1">IF(EB.Anwendung&lt;&gt;"",May!Monat.KomUeZ.Total,"")</f>
        <v>0</v>
      </c>
      <c r="K19" s="16" t="str">
        <f ca="1">IF(IF(EB.Anwendung&lt;&gt;"",May!Monat.UeZ.Saldo,"")&lt;=0,"-     ",IF(EB.Anwendung&lt;&gt;"",May!Monat.UeZ.Saldo,""))</f>
        <v xml:space="preserve">-     </v>
      </c>
      <c r="L19" s="16" t="str">
        <f ca="1">IF(IF(EB.Anwendung&lt;&gt;"",May!Monat.ZS.Total,"")&lt;=0,"-     ",IF(EB.Anwendung&lt;&gt;"",May!Monat.ZS.Total,""))</f>
        <v xml:space="preserve">-     </v>
      </c>
      <c r="M19" s="16">
        <f ca="1">IF(EB.Anwendung&lt;&gt;"",May!Monat.UeZ.Total,"")</f>
        <v>0</v>
      </c>
      <c r="N19" s="136"/>
      <c r="O19" s="20">
        <f ca="1">IF(EB.Anwendung&lt;&gt;"",May!Monat.Soll_Ist_UeVM-May!Monat.AnUeZ.Total,"")</f>
        <v>-6.549999999999998</v>
      </c>
      <c r="P19" s="16">
        <f ca="1">IF(EB.Anwendung&lt;&gt;"",May!Monat.KomAZ.Total,"")</f>
        <v>0</v>
      </c>
      <c r="Q19" s="213"/>
      <c r="R19" s="82" t="str">
        <f ca="1">IF(EB.Anwendung&lt;&gt;"",May!Monat.Pikett.Zähler,"")</f>
        <v>0 / 0 / 0</v>
      </c>
      <c r="S19" s="16">
        <f ca="1">IF(EB.Anwendung&lt;&gt;"",May!Monat.ein_aus_Pikett.Total,"")</f>
        <v>0</v>
      </c>
      <c r="T19" s="16">
        <f ca="1">IF(EB.Anwendung&lt;&gt;"",May!Monat.ND.Total,"")</f>
        <v>0</v>
      </c>
      <c r="U19" s="82">
        <f ca="1">IF(EB.Anwendung&lt;&gt;"",May!Monat.ZählerND.Total,"")</f>
        <v>0</v>
      </c>
      <c r="V19" s="16">
        <f ca="1">IF(EB.Anwendung&lt;&gt;"",May!Monat.ZZSND.Total,"")</f>
        <v>0</v>
      </c>
      <c r="W19" s="16">
        <f ca="1">IF(EB.Anwendung&lt;&gt;"",May!Monat.KompZZSND.Total,"")</f>
        <v>0</v>
      </c>
      <c r="X19" s="16">
        <f ca="1">IF(EB.Anwendung&lt;&gt;"",May!Monat.ZZNdUe,"")</f>
        <v>0</v>
      </c>
      <c r="Y19" s="16">
        <f ca="1">IF(EB.Anwendung&lt;&gt;"",May!Monat.Abendarbeit.Total,"")</f>
        <v>0</v>
      </c>
      <c r="Z19" s="16">
        <f ca="1">IF(EB.Anwendung&lt;&gt;"",May!Monat.BD.Total,"")</f>
        <v>0</v>
      </c>
      <c r="AA19" s="16">
        <f ca="1">IF(EB.Anwendung&lt;&gt;"",May!Monat.SD.Total,"")</f>
        <v>0</v>
      </c>
      <c r="AB19" s="209"/>
      <c r="AC19" s="16">
        <f ca="1">IF(IF(EB.Anwendung&lt;&gt;"",May!Monat.FerienKor.Total,"")="+",IF(EB.Anwendung&lt;&gt;"",May!Monat.Ferien.Total,"")-IF(EB.Anwendung&lt;&gt;"",May!Monat.FerienKor.Total,""),IF(EB.Anwendung&lt;&gt;"",May!Monat.Ferien.Total,"")+IF(EB.Anwendung&lt;&gt;"",May!Monat.FerienKor.Total,""))</f>
        <v>0</v>
      </c>
      <c r="AD19" s="16">
        <f ca="1">IF(EB.Anwendung&lt;&gt;"",May!Monat.AB.Total,"")</f>
        <v>0</v>
      </c>
      <c r="AE19" s="16">
        <f ca="1">IF(EB.Anwendung&lt;&gt;"",May!Monat.Krank.Total,"")</f>
        <v>0</v>
      </c>
      <c r="AF19" s="16">
        <f ca="1">IF(EB.Anwendung&lt;&gt;"",May!Monat.BU.Total,"")</f>
        <v>0</v>
      </c>
      <c r="AG19" s="16">
        <f ca="1">IF(EB.Anwendung&lt;&gt;"",May!Monat.NBU.Total,"")</f>
        <v>0</v>
      </c>
      <c r="AH19" s="16">
        <f ca="1">IF(EB.Anwendung&lt;&gt;"",May!Monat.Militaer.Total,"")</f>
        <v>0</v>
      </c>
      <c r="AI19" s="16">
        <f ca="1">IF(EB.Anwendung&lt;&gt;"",May!Monat.WB.Total,"")</f>
        <v>0</v>
      </c>
      <c r="AJ19" s="16">
        <f ca="1">IF(EB.Anwendung&lt;&gt;"",May!Monat.BesU.Total,"")</f>
        <v>0</v>
      </c>
      <c r="AK19" s="16">
        <f ca="1">IF(EB.Anwendung&lt;&gt;"",May!Monat.UnbesU.Total,"")</f>
        <v>0</v>
      </c>
      <c r="AL19" s="16">
        <f ca="1">IF(EB.Anwendung&lt;&gt;"",May!Monat.NB.Total,"")</f>
        <v>0</v>
      </c>
      <c r="AM19" s="16">
        <f ca="1">IF(EB.Anwendung&lt;&gt;"",May!Monat.DAG.Total,"")</f>
        <v>0</v>
      </c>
      <c r="AN19" s="323"/>
      <c r="AO19" s="16">
        <f ca="1">IF(EB.Anwendung&lt;&gt;"",May!Monat.ein_aus.Total,"")</f>
        <v>0</v>
      </c>
    </row>
    <row r="20" spans="1:45" s="38" customFormat="1" ht="15" customHeight="1" x14ac:dyDescent="0.2">
      <c r="A20" s="337" t="str">
        <f>INDEX(EB.Monate.Bereich,6,0)</f>
        <v>June</v>
      </c>
      <c r="B20" s="209"/>
      <c r="C20" s="20">
        <f t="shared" ca="1" si="0"/>
        <v>0</v>
      </c>
      <c r="D20" s="85">
        <f>IF(Eingabeblatt!H18="","-     ",Eingabeblatt!H18)</f>
        <v>100</v>
      </c>
      <c r="E20" s="20">
        <f ca="1">Eingabeblatt!I18</f>
        <v>7.349999999999997</v>
      </c>
      <c r="F20" s="20">
        <f ca="1">IF(EB.Anwendung&lt;&gt;"",June!Monat.Soll_Ist_UeVM,"")</f>
        <v>-7.349999999999997</v>
      </c>
      <c r="G20" s="20">
        <f t="shared" ca="1" si="1"/>
        <v>88.07499999999996</v>
      </c>
      <c r="H20" s="323"/>
      <c r="I20" s="16">
        <f ca="1">IF(EB.Anwendung&lt;&gt;"",June!Monat.AnUeZ.Total,"")</f>
        <v>0</v>
      </c>
      <c r="J20" s="16">
        <f ca="1">IF(EB.Anwendung&lt;&gt;"",June!Monat.KomUeZ.Total,"")</f>
        <v>0</v>
      </c>
      <c r="K20" s="16" t="str">
        <f ca="1">IF(IF(EB.Anwendung&lt;&gt;"",June!Monat.UeZ.Saldo,"")&lt;=0,"-     ",IF(EB.Anwendung&lt;&gt;"",June!Monat.UeZ.Saldo,""))</f>
        <v xml:space="preserve">-     </v>
      </c>
      <c r="L20" s="16" t="str">
        <f ca="1">IF(IF(EB.Anwendung&lt;&gt;"",June!Monat.ZS.Total,"")&lt;=0,"-     ",IF(EB.Anwendung&lt;&gt;"",June!Monat.ZS.Total,""))</f>
        <v xml:space="preserve">-     </v>
      </c>
      <c r="M20" s="16">
        <f ca="1">IF(EB.Anwendung&lt;&gt;"",June!Monat.UeZ.Total,"")</f>
        <v>0</v>
      </c>
      <c r="N20" s="136"/>
      <c r="O20" s="20">
        <f ca="1">IF(EB.Anwendung&lt;&gt;"",June!Monat.Soll_Ist_UeVM-June!Monat.AnUeZ.Total,"")</f>
        <v>-7.349999999999997</v>
      </c>
      <c r="P20" s="16">
        <f ca="1">IF(EB.Anwendung&lt;&gt;"",June!Monat.KomAZ.Total,"")</f>
        <v>0</v>
      </c>
      <c r="Q20" s="213"/>
      <c r="R20" s="82" t="str">
        <f ca="1">IF(EB.Anwendung&lt;&gt;"",June!Monat.Pikett.Zähler,"")</f>
        <v>0 / 0 / 0</v>
      </c>
      <c r="S20" s="16">
        <f ca="1">IF(EB.Anwendung&lt;&gt;"",June!Monat.ein_aus_Pikett.Total,"")</f>
        <v>0</v>
      </c>
      <c r="T20" s="16">
        <f ca="1">IF(EB.Anwendung&lt;&gt;"",June!Monat.ND.Total,"")</f>
        <v>0</v>
      </c>
      <c r="U20" s="82">
        <f ca="1">IF(EB.Anwendung&lt;&gt;"",June!Monat.ZählerND.Total,"")</f>
        <v>0</v>
      </c>
      <c r="V20" s="16">
        <f ca="1">IF(EB.Anwendung&lt;&gt;"",June!Monat.ZZSND.Total,"")</f>
        <v>0</v>
      </c>
      <c r="W20" s="16">
        <f ca="1">IF(EB.Anwendung&lt;&gt;"",June!Monat.KompZZSND.Total,"")</f>
        <v>0</v>
      </c>
      <c r="X20" s="16">
        <f ca="1">IF(EB.Anwendung&lt;&gt;"",June!Monat.ZZNdUe,"")</f>
        <v>0</v>
      </c>
      <c r="Y20" s="16">
        <f ca="1">IF(EB.Anwendung&lt;&gt;"",June!Monat.Abendarbeit.Total,"")</f>
        <v>0</v>
      </c>
      <c r="Z20" s="16">
        <f ca="1">IF(EB.Anwendung&lt;&gt;"",June!Monat.BD.Total,"")</f>
        <v>0</v>
      </c>
      <c r="AA20" s="16">
        <f ca="1">IF(EB.Anwendung&lt;&gt;"",June!Monat.SD.Total,"")</f>
        <v>0</v>
      </c>
      <c r="AB20" s="209"/>
      <c r="AC20" s="16">
        <f ca="1">IF(IF(EB.Anwendung&lt;&gt;"",June!Monat.FerienKor.Total,"")="+",IF(EB.Anwendung&lt;&gt;"",June!Monat.Ferien.Total,"")-IF(EB.Anwendung&lt;&gt;"",June!Monat.FerienKor.Total,""),IF(EB.Anwendung&lt;&gt;"",June!Monat.Ferien.Total,"")+IF(EB.Anwendung&lt;&gt;"",June!Monat.FerienKor.Total,""))</f>
        <v>0</v>
      </c>
      <c r="AD20" s="16">
        <f ca="1">IF(EB.Anwendung&lt;&gt;"",June!Monat.AB.Total,"")</f>
        <v>0</v>
      </c>
      <c r="AE20" s="16">
        <f ca="1">IF(EB.Anwendung&lt;&gt;"",June!Monat.Krank.Total,"")</f>
        <v>0</v>
      </c>
      <c r="AF20" s="16">
        <f ca="1">IF(EB.Anwendung&lt;&gt;"",June!Monat.BU.Total,"")</f>
        <v>0</v>
      </c>
      <c r="AG20" s="16">
        <f ca="1">IF(EB.Anwendung&lt;&gt;"",June!Monat.NBU.Total,"")</f>
        <v>0</v>
      </c>
      <c r="AH20" s="16">
        <f ca="1">IF(EB.Anwendung&lt;&gt;"",June!Monat.Militaer.Total,"")</f>
        <v>0</v>
      </c>
      <c r="AI20" s="16">
        <f ca="1">IF(EB.Anwendung&lt;&gt;"",June!Monat.WB.Total,"")</f>
        <v>0</v>
      </c>
      <c r="AJ20" s="16">
        <f ca="1">IF(EB.Anwendung&lt;&gt;"",June!Monat.BesU.Total,"")</f>
        <v>0</v>
      </c>
      <c r="AK20" s="16">
        <f ca="1">IF(EB.Anwendung&lt;&gt;"",June!Monat.UnbesU.Total,"")</f>
        <v>0</v>
      </c>
      <c r="AL20" s="16">
        <f ca="1">IF(EB.Anwendung&lt;&gt;"",June!Monat.NB.Total,"")</f>
        <v>0</v>
      </c>
      <c r="AM20" s="16">
        <f ca="1">IF(EB.Anwendung&lt;&gt;"",June!Monat.DAG.Total,"")</f>
        <v>0</v>
      </c>
      <c r="AN20" s="323"/>
      <c r="AO20" s="16">
        <f ca="1">IF(EB.Anwendung&lt;&gt;"",June!Monat.ein_aus.Total,"")</f>
        <v>0</v>
      </c>
    </row>
    <row r="21" spans="1:45" s="38" customFormat="1" ht="15" customHeight="1" x14ac:dyDescent="0.2">
      <c r="A21" s="337" t="str">
        <f>INDEX(EB.Monate.Bereich,7,0)</f>
        <v>July</v>
      </c>
      <c r="B21" s="209"/>
      <c r="C21" s="20">
        <f t="shared" ca="1" si="0"/>
        <v>0</v>
      </c>
      <c r="D21" s="85">
        <f>IF(Eingabeblatt!H19="","-     ",Eingabeblatt!H19)</f>
        <v>100</v>
      </c>
      <c r="E21" s="20">
        <f ca="1">Eingabeblatt!I19</f>
        <v>8.0499999999999972</v>
      </c>
      <c r="F21" s="20">
        <f ca="1">IF(EB.Anwendung&lt;&gt;"",July!Monat.Soll_Ist_UeVM,"")</f>
        <v>-8.0499999999999972</v>
      </c>
      <c r="G21" s="20">
        <f t="shared" ca="1" si="1"/>
        <v>88.07499999999996</v>
      </c>
      <c r="H21" s="323"/>
      <c r="I21" s="16">
        <f ca="1">IF(EB.Anwendung&lt;&gt;"",July!Monat.AnUeZ.Total,"")</f>
        <v>0</v>
      </c>
      <c r="J21" s="16">
        <f ca="1">IF(EB.Anwendung&lt;&gt;"",July!Monat.KomUeZ.Total,"")</f>
        <v>0</v>
      </c>
      <c r="K21" s="16" t="str">
        <f ca="1">IF(IF(EB.Anwendung&lt;&gt;"",July!Monat.UeZ.Saldo,"")&lt;=0,"-     ",IF(EB.Anwendung&lt;&gt;"",July!Monat.UeZ.Saldo,""))</f>
        <v xml:space="preserve">-     </v>
      </c>
      <c r="L21" s="16" t="str">
        <f ca="1">IF(IF(EB.Anwendung&lt;&gt;"",July!Monat.ZS.Total,"")&lt;=0,"-     ",IF(EB.Anwendung&lt;&gt;"",July!Monat.ZS.Total,""))</f>
        <v xml:space="preserve">-     </v>
      </c>
      <c r="M21" s="16">
        <f ca="1">IF(EB.Anwendung&lt;&gt;"",July!Monat.UeZ.Total,"")</f>
        <v>0</v>
      </c>
      <c r="N21" s="136"/>
      <c r="O21" s="20">
        <f ca="1">IF(EB.Anwendung&lt;&gt;"",July!Monat.Soll_Ist_UeVM-July!Monat.AnUeZ.Total,"")</f>
        <v>-8.0499999999999972</v>
      </c>
      <c r="P21" s="16">
        <f ca="1">IF(EB.Anwendung&lt;&gt;"",July!Monat.KomAZ.Total,"")</f>
        <v>0</v>
      </c>
      <c r="Q21" s="213"/>
      <c r="R21" s="82" t="str">
        <f ca="1">IF(EB.Anwendung&lt;&gt;"",July!Monat.Pikett.Zähler,"")</f>
        <v>0 / 0 / 0</v>
      </c>
      <c r="S21" s="16">
        <f ca="1">IF(EB.Anwendung&lt;&gt;"",July!Monat.ein_aus_Pikett.Total,"")</f>
        <v>0</v>
      </c>
      <c r="T21" s="16">
        <f ca="1">IF(EB.Anwendung&lt;&gt;"",July!Monat.ND.Total,"")</f>
        <v>0</v>
      </c>
      <c r="U21" s="82">
        <f ca="1">IF(EB.Anwendung&lt;&gt;"",July!Monat.ZählerND.Total,"")</f>
        <v>0</v>
      </c>
      <c r="V21" s="16">
        <f ca="1">IF(EB.Anwendung&lt;&gt;"",July!Monat.ZZSND.Total,"")</f>
        <v>0</v>
      </c>
      <c r="W21" s="16">
        <f ca="1">IF(EB.Anwendung&lt;&gt;"",July!Monat.KompZZSND.Total,"")</f>
        <v>0</v>
      </c>
      <c r="X21" s="16">
        <f ca="1">IF(EB.Anwendung&lt;&gt;"",July!Monat.ZZNdUe,"")</f>
        <v>0</v>
      </c>
      <c r="Y21" s="16">
        <f ca="1">IF(EB.Anwendung&lt;&gt;"",July!Monat.Abendarbeit.Total,"")</f>
        <v>0</v>
      </c>
      <c r="Z21" s="16">
        <f ca="1">IF(EB.Anwendung&lt;&gt;"",July!Monat.BD.Total,"")</f>
        <v>0</v>
      </c>
      <c r="AA21" s="16">
        <f ca="1">IF(EB.Anwendung&lt;&gt;"",July!Monat.SD.Total,"")</f>
        <v>0</v>
      </c>
      <c r="AB21" s="209"/>
      <c r="AC21" s="16">
        <f ca="1">IF(IF(EB.Anwendung&lt;&gt;"",July!Monat.FerienKor.Total,"")="+",IF(EB.Anwendung&lt;&gt;"",July!Monat.Ferien.Total,"")-IF(EB.Anwendung&lt;&gt;"",July!Monat.FerienKor.Total,""),IF(EB.Anwendung&lt;&gt;"",July!Monat.Ferien.Total,"")+IF(EB.Anwendung&lt;&gt;"",July!Monat.FerienKor.Total,""))</f>
        <v>0</v>
      </c>
      <c r="AD21" s="16">
        <f ca="1">IF(EB.Anwendung&lt;&gt;"",July!Monat.AB.Total,"")</f>
        <v>0</v>
      </c>
      <c r="AE21" s="16">
        <f ca="1">IF(EB.Anwendung&lt;&gt;"",July!Monat.Krank.Total,"")</f>
        <v>0</v>
      </c>
      <c r="AF21" s="16">
        <f ca="1">IF(EB.Anwendung&lt;&gt;"",July!Monat.BU.Total,"")</f>
        <v>0</v>
      </c>
      <c r="AG21" s="16">
        <f ca="1">IF(EB.Anwendung&lt;&gt;"",July!Monat.NBU.Total,"")</f>
        <v>0</v>
      </c>
      <c r="AH21" s="16">
        <f ca="1">IF(EB.Anwendung&lt;&gt;"",July!Monat.Militaer.Total,"")</f>
        <v>0</v>
      </c>
      <c r="AI21" s="16">
        <f ca="1">IF(EB.Anwendung&lt;&gt;"",July!Monat.WB.Total,"")</f>
        <v>0</v>
      </c>
      <c r="AJ21" s="16">
        <f ca="1">IF(EB.Anwendung&lt;&gt;"",July!Monat.BesU.Total,"")</f>
        <v>0</v>
      </c>
      <c r="AK21" s="16">
        <f ca="1">IF(EB.Anwendung&lt;&gt;"",July!Monat.UnbesU.Total,"")</f>
        <v>0</v>
      </c>
      <c r="AL21" s="16">
        <f ca="1">IF(EB.Anwendung&lt;&gt;"",July!Monat.NB.Total,"")</f>
        <v>0</v>
      </c>
      <c r="AM21" s="16">
        <f ca="1">IF(EB.Anwendung&lt;&gt;"",July!Monat.DAG.Total,"")</f>
        <v>0</v>
      </c>
      <c r="AN21" s="323"/>
      <c r="AO21" s="16">
        <f ca="1">IF(EB.Anwendung&lt;&gt;"",July!Monat.ein_aus.Total,"")</f>
        <v>0</v>
      </c>
    </row>
    <row r="22" spans="1:45" s="38" customFormat="1" ht="15" customHeight="1" x14ac:dyDescent="0.2">
      <c r="A22" s="337" t="str">
        <f>INDEX(EB.Monate.Bereich,8,0)</f>
        <v>August</v>
      </c>
      <c r="B22" s="209"/>
      <c r="C22" s="20">
        <f t="shared" ca="1" si="0"/>
        <v>0</v>
      </c>
      <c r="D22" s="85">
        <f>IF(Eingabeblatt!H20="","-     ",Eingabeblatt!H20)</f>
        <v>100</v>
      </c>
      <c r="E22" s="20">
        <f ca="1">Eingabeblatt!I20</f>
        <v>7.349999999999997</v>
      </c>
      <c r="F22" s="20">
        <f ca="1">IF(EB.Anwendung&lt;&gt;"",August!Monat.Soll_Ist_UeVM,"")</f>
        <v>-7.349999999999997</v>
      </c>
      <c r="G22" s="20">
        <f t="shared" ca="1" si="1"/>
        <v>88.07499999999996</v>
      </c>
      <c r="H22" s="323"/>
      <c r="I22" s="16">
        <f ca="1">IF(EB.Anwendung&lt;&gt;"",August!Monat.AnUeZ.Total,"")</f>
        <v>0</v>
      </c>
      <c r="J22" s="16">
        <f ca="1">IF(EB.Anwendung&lt;&gt;"",August!Monat.KomUeZ.Total,"")</f>
        <v>0</v>
      </c>
      <c r="K22" s="16" t="str">
        <f ca="1">IF(IF(EB.Anwendung&lt;&gt;"",August!Monat.UeZ.Saldo,"")&lt;=0,"-     ",IF(EB.Anwendung&lt;&gt;"",August!Monat.UeZ.Saldo,""))</f>
        <v xml:space="preserve">-     </v>
      </c>
      <c r="L22" s="16" t="str">
        <f ca="1">IF(IF(EB.Anwendung&lt;&gt;"",August!Monat.ZS.Total,"")&lt;=0,"-     ",IF(EB.Anwendung&lt;&gt;"",August!Monat.ZS.Total,""))</f>
        <v xml:space="preserve">-     </v>
      </c>
      <c r="M22" s="16">
        <f ca="1">IF(EB.Anwendung&lt;&gt;"",August!Monat.UeZ.Total,"")</f>
        <v>0</v>
      </c>
      <c r="N22" s="136"/>
      <c r="O22" s="20">
        <f ca="1">IF(EB.Anwendung&lt;&gt;"",August!Monat.Soll_Ist_UeVM-August!Monat.AnUeZ.Total,"")</f>
        <v>-7.349999999999997</v>
      </c>
      <c r="P22" s="16">
        <f ca="1">IF(EB.Anwendung&lt;&gt;"",August!Monat.KomAZ.Total,"")</f>
        <v>0</v>
      </c>
      <c r="Q22" s="213"/>
      <c r="R22" s="82" t="str">
        <f ca="1">IF(EB.Anwendung&lt;&gt;"",August!Monat.Pikett.Zähler,"")</f>
        <v>0 / 0 / 0</v>
      </c>
      <c r="S22" s="16">
        <f ca="1">IF(EB.Anwendung&lt;&gt;"",August!Monat.ein_aus_Pikett.Total,"")</f>
        <v>0</v>
      </c>
      <c r="T22" s="16">
        <f ca="1">IF(EB.Anwendung&lt;&gt;"",August!Monat.ND.Total,"")</f>
        <v>0</v>
      </c>
      <c r="U22" s="82">
        <f ca="1">IF(EB.Anwendung&lt;&gt;"",August!Monat.ZählerND.Total,"")</f>
        <v>0</v>
      </c>
      <c r="V22" s="16">
        <f ca="1">IF(EB.Anwendung&lt;&gt;"",August!Monat.ZZSND.Total,"")</f>
        <v>0</v>
      </c>
      <c r="W22" s="16">
        <f ca="1">IF(EB.Anwendung&lt;&gt;"",August!Monat.KompZZSND.Total,"")</f>
        <v>0</v>
      </c>
      <c r="X22" s="16">
        <f ca="1">IF(EB.Anwendung&lt;&gt;"",August!Monat.ZZNdUe,"")</f>
        <v>0</v>
      </c>
      <c r="Y22" s="16">
        <f ca="1">IF(EB.Anwendung&lt;&gt;"",August!Monat.Abendarbeit.Total,"")</f>
        <v>0</v>
      </c>
      <c r="Z22" s="16">
        <f ca="1">IF(EB.Anwendung&lt;&gt;"",August!Monat.BD.Total,"")</f>
        <v>0</v>
      </c>
      <c r="AA22" s="16">
        <f ca="1">IF(EB.Anwendung&lt;&gt;"",August!Monat.SD.Total,"")</f>
        <v>0</v>
      </c>
      <c r="AB22" s="209"/>
      <c r="AC22" s="16">
        <f ca="1">IF(IF(EB.Anwendung&lt;&gt;"",August!Monat.FerienKor.Total,"")="+",IF(EB.Anwendung&lt;&gt;"",August!Monat.Ferien.Total,"")-IF(EB.Anwendung&lt;&gt;"",August!Monat.FerienKor.Total,""),IF(EB.Anwendung&lt;&gt;"",August!Monat.Ferien.Total,"")+IF(EB.Anwendung&lt;&gt;"",August!Monat.FerienKor.Total,""))</f>
        <v>0</v>
      </c>
      <c r="AD22" s="16">
        <f ca="1">IF(EB.Anwendung&lt;&gt;"",August!Monat.AB.Total,"")</f>
        <v>0</v>
      </c>
      <c r="AE22" s="16">
        <f ca="1">IF(EB.Anwendung&lt;&gt;"",August!Monat.Krank.Total,"")</f>
        <v>0</v>
      </c>
      <c r="AF22" s="16">
        <f ca="1">IF(EB.Anwendung&lt;&gt;"",August!Monat.BU.Total,"")</f>
        <v>0</v>
      </c>
      <c r="AG22" s="16">
        <f ca="1">IF(EB.Anwendung&lt;&gt;"",August!Monat.NBU.Total,"")</f>
        <v>0</v>
      </c>
      <c r="AH22" s="16">
        <f ca="1">IF(EB.Anwendung&lt;&gt;"",August!Monat.Militaer.Total,"")</f>
        <v>0</v>
      </c>
      <c r="AI22" s="16">
        <f ca="1">IF(EB.Anwendung&lt;&gt;"",August!Monat.WB.Total,"")</f>
        <v>0</v>
      </c>
      <c r="AJ22" s="16">
        <f ca="1">IF(EB.Anwendung&lt;&gt;"",August!Monat.BesU.Total,"")</f>
        <v>0</v>
      </c>
      <c r="AK22" s="16">
        <f ca="1">IF(EB.Anwendung&lt;&gt;"",August!Monat.UnbesU.Total,"")</f>
        <v>0</v>
      </c>
      <c r="AL22" s="16">
        <f ca="1">IF(EB.Anwendung&lt;&gt;"",August!Monat.NB.Total,"")</f>
        <v>0</v>
      </c>
      <c r="AM22" s="16">
        <f ca="1">IF(EB.Anwendung&lt;&gt;"",August!Monat.DAG.Total,"")</f>
        <v>0</v>
      </c>
      <c r="AN22" s="323"/>
      <c r="AO22" s="16">
        <f ca="1">IF(EB.Anwendung&lt;&gt;"",August!Monat.ein_aus.Total,"")</f>
        <v>0</v>
      </c>
    </row>
    <row r="23" spans="1:45" s="38" customFormat="1" ht="15" customHeight="1" x14ac:dyDescent="0.2">
      <c r="A23" s="337" t="str">
        <f>INDEX(EB.Monate.Bereich,9,0)</f>
        <v>September</v>
      </c>
      <c r="B23" s="209"/>
      <c r="C23" s="20">
        <f t="shared" ca="1" si="0"/>
        <v>0</v>
      </c>
      <c r="D23" s="85">
        <f>IF(Eingabeblatt!H21="","-     ",Eingabeblatt!H21)</f>
        <v>100</v>
      </c>
      <c r="E23" s="20">
        <f ca="1">Eingabeblatt!I21</f>
        <v>7.5249999999999968</v>
      </c>
      <c r="F23" s="20">
        <f ca="1">IF(EB.Anwendung&lt;&gt;"",September!Monat.Soll_Ist_UeVM,"")</f>
        <v>-7.5249999999999968</v>
      </c>
      <c r="G23" s="20">
        <f t="shared" ca="1" si="1"/>
        <v>88.07499999999996</v>
      </c>
      <c r="H23" s="323"/>
      <c r="I23" s="16">
        <f ca="1">IF(EB.Anwendung&lt;&gt;"",September!Monat.AnUeZ.Total,"")</f>
        <v>0</v>
      </c>
      <c r="J23" s="16">
        <f ca="1">IF(EB.Anwendung&lt;&gt;"",September!Monat.KomUeZ.Total,"")</f>
        <v>0</v>
      </c>
      <c r="K23" s="16" t="str">
        <f ca="1">IF(IF(EB.Anwendung&lt;&gt;"",September!Monat.UeZ.Saldo,"")&lt;=0,"-     ",IF(EB.Anwendung&lt;&gt;"",September!Monat.UeZ.Saldo,""))</f>
        <v xml:space="preserve">-     </v>
      </c>
      <c r="L23" s="16" t="str">
        <f ca="1">IF(IF(EB.Anwendung&lt;&gt;"",September!Monat.ZS.Total,"")&lt;=0,"-     ",IF(EB.Anwendung&lt;&gt;"",September!Monat.ZS.Total,""))</f>
        <v xml:space="preserve">-     </v>
      </c>
      <c r="M23" s="16">
        <f ca="1">IF(EB.Anwendung&lt;&gt;"",September!Monat.UeZ.Total,"")</f>
        <v>0</v>
      </c>
      <c r="N23" s="136"/>
      <c r="O23" s="20">
        <f ca="1">IF(EB.Anwendung&lt;&gt;"",September!Monat.Soll_Ist_UeVM-September!Monat.AnUeZ.Total,"")</f>
        <v>-7.5249999999999968</v>
      </c>
      <c r="P23" s="16">
        <f ca="1">IF(EB.Anwendung&lt;&gt;"",September!Monat.KomAZ.Total,"")</f>
        <v>0</v>
      </c>
      <c r="Q23" s="213"/>
      <c r="R23" s="82" t="str">
        <f ca="1">IF(EB.Anwendung&lt;&gt;"",September!Monat.Pikett.Zähler,"")</f>
        <v>0 / 0 / 0</v>
      </c>
      <c r="S23" s="16">
        <f ca="1">IF(EB.Anwendung&lt;&gt;"",September!Monat.ein_aus_Pikett.Total,"")</f>
        <v>0</v>
      </c>
      <c r="T23" s="16">
        <f ca="1">IF(EB.Anwendung&lt;&gt;"",September!Monat.ND.Total,"")</f>
        <v>0</v>
      </c>
      <c r="U23" s="82">
        <f ca="1">IF(EB.Anwendung&lt;&gt;"",September!Monat.ZählerND.Total,"")</f>
        <v>0</v>
      </c>
      <c r="V23" s="16">
        <f ca="1">IF(EB.Anwendung&lt;&gt;"",September!Monat.ZZSND.Total,"")</f>
        <v>0</v>
      </c>
      <c r="W23" s="16">
        <f ca="1">IF(EB.Anwendung&lt;&gt;"",September!Monat.KompZZSND.Total,"")</f>
        <v>0</v>
      </c>
      <c r="X23" s="16">
        <f ca="1">IF(EB.Anwendung&lt;&gt;"",September!Monat.ZZNdUe,"")</f>
        <v>0</v>
      </c>
      <c r="Y23" s="16">
        <f ca="1">IF(EB.Anwendung&lt;&gt;"",September!Monat.Abendarbeit.Total,"")</f>
        <v>0</v>
      </c>
      <c r="Z23" s="16">
        <f ca="1">IF(EB.Anwendung&lt;&gt;"",September!Monat.BD.Total,"")</f>
        <v>0</v>
      </c>
      <c r="AA23" s="16">
        <f ca="1">IF(EB.Anwendung&lt;&gt;"",September!Monat.SD.Total,"")</f>
        <v>0</v>
      </c>
      <c r="AB23" s="209"/>
      <c r="AC23" s="16">
        <f ca="1">IF(IF(EB.Anwendung&lt;&gt;"",September!Monat.FerienKor.Total,"")="+",IF(EB.Anwendung&lt;&gt;"",September!Monat.Ferien.Total,"")-IF(EB.Anwendung&lt;&gt;"",September!Monat.FerienKor.Total,""),IF(EB.Anwendung&lt;&gt;"",September!Monat.Ferien.Total,"")+IF(EB.Anwendung&lt;&gt;"",September!Monat.FerienKor.Total,""))</f>
        <v>0</v>
      </c>
      <c r="AD23" s="16">
        <f ca="1">IF(EB.Anwendung&lt;&gt;"",September!Monat.AB.Total,"")</f>
        <v>0</v>
      </c>
      <c r="AE23" s="16">
        <f ca="1">IF(EB.Anwendung&lt;&gt;"",September!Monat.Krank.Total,"")</f>
        <v>0</v>
      </c>
      <c r="AF23" s="16">
        <f ca="1">IF(EB.Anwendung&lt;&gt;"",September!Monat.BU.Total,"")</f>
        <v>0</v>
      </c>
      <c r="AG23" s="16">
        <f ca="1">IF(EB.Anwendung&lt;&gt;"",September!Monat.NBU.Total,"")</f>
        <v>0</v>
      </c>
      <c r="AH23" s="16">
        <f ca="1">IF(EB.Anwendung&lt;&gt;"",September!Monat.Militaer.Total,"")</f>
        <v>0</v>
      </c>
      <c r="AI23" s="16">
        <f ca="1">IF(EB.Anwendung&lt;&gt;"",September!Monat.WB.Total,"")</f>
        <v>0</v>
      </c>
      <c r="AJ23" s="16">
        <f ca="1">IF(EB.Anwendung&lt;&gt;"",September!Monat.BesU.Total,"")</f>
        <v>0</v>
      </c>
      <c r="AK23" s="16">
        <f ca="1">IF(EB.Anwendung&lt;&gt;"",September!Monat.UnbesU.Total,"")</f>
        <v>0</v>
      </c>
      <c r="AL23" s="16">
        <f ca="1">IF(EB.Anwendung&lt;&gt;"",September!Monat.NB.Total,"")</f>
        <v>0</v>
      </c>
      <c r="AM23" s="16">
        <f ca="1">IF(EB.Anwendung&lt;&gt;"",September!Monat.DAG.Total,"")</f>
        <v>0</v>
      </c>
      <c r="AN23" s="323"/>
      <c r="AO23" s="16">
        <f ca="1">IF(EB.Anwendung&lt;&gt;"",September!Monat.ein_aus.Total,"")</f>
        <v>0</v>
      </c>
    </row>
    <row r="24" spans="1:45" s="38" customFormat="1" ht="15" customHeight="1" x14ac:dyDescent="0.2">
      <c r="A24" s="337" t="str">
        <f>INDEX(EB.Monate.Bereich,10,0)</f>
        <v>October</v>
      </c>
      <c r="B24" s="209"/>
      <c r="C24" s="20">
        <f t="shared" ca="1" si="0"/>
        <v>0</v>
      </c>
      <c r="D24" s="85">
        <f>IF(Eingabeblatt!H22="","-     ",Eingabeblatt!H22)</f>
        <v>100</v>
      </c>
      <c r="E24" s="20">
        <f ca="1">Eingabeblatt!I22</f>
        <v>7.6999999999999966</v>
      </c>
      <c r="F24" s="20">
        <f ca="1">IF(EB.Anwendung&lt;&gt;"",October!Monat.Soll_Ist_UeVM,"")</f>
        <v>-7.6999999999999966</v>
      </c>
      <c r="G24" s="20">
        <f t="shared" ca="1" si="1"/>
        <v>88.07499999999996</v>
      </c>
      <c r="H24" s="323"/>
      <c r="I24" s="16">
        <f ca="1">IF(EB.Anwendung&lt;&gt;"",October!Monat.AnUeZ.Total,"")</f>
        <v>0</v>
      </c>
      <c r="J24" s="16">
        <f ca="1">IF(EB.Anwendung&lt;&gt;"",October!Monat.KomUeZ.Total,"")</f>
        <v>0</v>
      </c>
      <c r="K24" s="16" t="str">
        <f ca="1">IF(IF(EB.Anwendung&lt;&gt;"",October!Monat.UeZ.Saldo,"")&lt;=0,"-     ",IF(EB.Anwendung&lt;&gt;"",October!Monat.UeZ.Saldo,""))</f>
        <v xml:space="preserve">-     </v>
      </c>
      <c r="L24" s="16" t="str">
        <f ca="1">IF(IF(EB.Anwendung&lt;&gt;"",October!Monat.ZS.Total,"")&lt;=0,"-     ",IF(EB.Anwendung&lt;&gt;"",October!Monat.ZS.Total,""))</f>
        <v xml:space="preserve">-     </v>
      </c>
      <c r="M24" s="16">
        <f ca="1">IF(EB.Anwendung&lt;&gt;"",October!Monat.UeZ.Total,"")</f>
        <v>0</v>
      </c>
      <c r="N24" s="136"/>
      <c r="O24" s="20">
        <f ca="1">IF(EB.Anwendung&lt;&gt;"",October!Monat.Soll_Ist_UeVM-October!Monat.AnUeZ.Total,"")</f>
        <v>-7.6999999999999966</v>
      </c>
      <c r="P24" s="16">
        <f ca="1">IF(EB.Anwendung&lt;&gt;"",October!Monat.KomAZ.Total,"")</f>
        <v>0</v>
      </c>
      <c r="Q24" s="213"/>
      <c r="R24" s="82" t="str">
        <f ca="1">IF(EB.Anwendung&lt;&gt;"",October!Monat.Pikett.Zähler,"")</f>
        <v>0 / 0 / 0</v>
      </c>
      <c r="S24" s="16">
        <f ca="1">IF(EB.Anwendung&lt;&gt;"",October!Monat.ein_aus_Pikett.Total,"")</f>
        <v>0</v>
      </c>
      <c r="T24" s="16">
        <f ca="1">IF(EB.Anwendung&lt;&gt;"",October!Monat.ND.Total,"")</f>
        <v>0</v>
      </c>
      <c r="U24" s="82">
        <f ca="1">IF(EB.Anwendung&lt;&gt;"",October!Monat.ZählerND.Total,"")</f>
        <v>0</v>
      </c>
      <c r="V24" s="16">
        <f ca="1">IF(EB.Anwendung&lt;&gt;"",October!Monat.ZZSND.Total,"")</f>
        <v>0</v>
      </c>
      <c r="W24" s="16">
        <f ca="1">IF(EB.Anwendung&lt;&gt;"",October!Monat.KompZZSND.Total,"")</f>
        <v>0</v>
      </c>
      <c r="X24" s="16">
        <f ca="1">IF(EB.Anwendung&lt;&gt;"",October!Monat.ZZNdUe,"")</f>
        <v>0</v>
      </c>
      <c r="Y24" s="16">
        <f ca="1">IF(EB.Anwendung&lt;&gt;"",October!Monat.Abendarbeit.Total,"")</f>
        <v>0</v>
      </c>
      <c r="Z24" s="16">
        <f ca="1">IF(EB.Anwendung&lt;&gt;"",October!Monat.BD.Total,"")</f>
        <v>0</v>
      </c>
      <c r="AA24" s="16">
        <f ca="1">IF(EB.Anwendung&lt;&gt;"",October!Monat.SD.Total,"")</f>
        <v>0</v>
      </c>
      <c r="AB24" s="209"/>
      <c r="AC24" s="16">
        <f ca="1">IF(IF(EB.Anwendung&lt;&gt;"",October!Monat.FerienKor.Total,"")="+",IF(EB.Anwendung&lt;&gt;"",October!Monat.Ferien.Total,"")-IF(EB.Anwendung&lt;&gt;"",October!Monat.FerienKor.Total,""),IF(EB.Anwendung&lt;&gt;"",October!Monat.Ferien.Total,"")+IF(EB.Anwendung&lt;&gt;"",October!Monat.FerienKor.Total,""))</f>
        <v>0</v>
      </c>
      <c r="AD24" s="16">
        <f ca="1">IF(EB.Anwendung&lt;&gt;"",October!Monat.AB.Total,"")</f>
        <v>0</v>
      </c>
      <c r="AE24" s="16">
        <f ca="1">IF(EB.Anwendung&lt;&gt;"",October!Monat.Krank.Total,"")</f>
        <v>0</v>
      </c>
      <c r="AF24" s="16">
        <f ca="1">IF(EB.Anwendung&lt;&gt;"",October!Monat.BU.Total,"")</f>
        <v>0</v>
      </c>
      <c r="AG24" s="16">
        <f ca="1">IF(EB.Anwendung&lt;&gt;"",October!Monat.NBU.Total,"")</f>
        <v>0</v>
      </c>
      <c r="AH24" s="16">
        <f ca="1">IF(EB.Anwendung&lt;&gt;"",October!Monat.Militaer.Total,"")</f>
        <v>0</v>
      </c>
      <c r="AI24" s="16">
        <f ca="1">IF(EB.Anwendung&lt;&gt;"",October!Monat.WB.Total,"")</f>
        <v>0</v>
      </c>
      <c r="AJ24" s="16">
        <f ca="1">IF(EB.Anwendung&lt;&gt;"",October!Monat.BesU.Total,"")</f>
        <v>0</v>
      </c>
      <c r="AK24" s="16">
        <f ca="1">IF(EB.Anwendung&lt;&gt;"",October!Monat.UnbesU.Total,"")</f>
        <v>0</v>
      </c>
      <c r="AL24" s="16">
        <f ca="1">IF(EB.Anwendung&lt;&gt;"",October!Monat.NB.Total,"")</f>
        <v>0</v>
      </c>
      <c r="AM24" s="16">
        <f ca="1">IF(EB.Anwendung&lt;&gt;"",October!Monat.DAG.Total,"")</f>
        <v>0</v>
      </c>
      <c r="AN24" s="323"/>
      <c r="AO24" s="16">
        <f ca="1">IF(EB.Anwendung&lt;&gt;"",October!Monat.ein_aus.Total,"")</f>
        <v>0</v>
      </c>
    </row>
    <row r="25" spans="1:45" s="38" customFormat="1" ht="15" customHeight="1" x14ac:dyDescent="0.2">
      <c r="A25" s="337" t="str">
        <f>INDEX(EB.Monate.Bereich,11,0)</f>
        <v>November</v>
      </c>
      <c r="B25" s="209"/>
      <c r="C25" s="20">
        <f t="shared" ca="1" si="0"/>
        <v>0</v>
      </c>
      <c r="D25" s="85">
        <f>IF(Eingabeblatt!H23="","-     ",Eingabeblatt!H23)</f>
        <v>100</v>
      </c>
      <c r="E25" s="20">
        <f ca="1">Eingabeblatt!I23</f>
        <v>7.349999999999997</v>
      </c>
      <c r="F25" s="20">
        <f ca="1">IF(EB.Anwendung&lt;&gt;"",November!Monat.Soll_Ist_UeVM,"")</f>
        <v>-7.349999999999997</v>
      </c>
      <c r="G25" s="20">
        <f t="shared" ca="1" si="1"/>
        <v>88.07499999999996</v>
      </c>
      <c r="H25" s="323"/>
      <c r="I25" s="16">
        <f ca="1">IF(EB.Anwendung&lt;&gt;"",November!Monat.AnUeZ.Total,"")</f>
        <v>0</v>
      </c>
      <c r="J25" s="16">
        <f ca="1">IF(EB.Anwendung&lt;&gt;"",November!Monat.KomUeZ.Total,"")</f>
        <v>0</v>
      </c>
      <c r="K25" s="16" t="str">
        <f ca="1">IF(IF(EB.Anwendung&lt;&gt;"",November!Monat.UeZ.Saldo,"")&lt;=0,"-     ",IF(EB.Anwendung&lt;&gt;"",November!Monat.UeZ.Saldo,""))</f>
        <v xml:space="preserve">-     </v>
      </c>
      <c r="L25" s="16" t="str">
        <f ca="1">IF(IF(EB.Anwendung&lt;&gt;"",November!Monat.ZS.Total,"")&lt;=0,"-     ",IF(EB.Anwendung&lt;&gt;"",November!Monat.ZS.Total,""))</f>
        <v xml:space="preserve">-     </v>
      </c>
      <c r="M25" s="16">
        <f ca="1">IF(EB.Anwendung&lt;&gt;"",November!Monat.UeZ.Total,"")</f>
        <v>0</v>
      </c>
      <c r="N25" s="136"/>
      <c r="O25" s="20">
        <f ca="1">IF(EB.Anwendung&lt;&gt;"",November!Monat.Soll_Ist_UeVM-November!Monat.AnUeZ.Total,"")</f>
        <v>-7.349999999999997</v>
      </c>
      <c r="P25" s="16">
        <f ca="1">IF(EB.Anwendung&lt;&gt;"",November!Monat.KomAZ.Total,"")</f>
        <v>0</v>
      </c>
      <c r="Q25" s="213"/>
      <c r="R25" s="82" t="str">
        <f ca="1">IF(EB.Anwendung&lt;&gt;"",November!Monat.Pikett.Zähler,"")</f>
        <v>0 / 0 / 0</v>
      </c>
      <c r="S25" s="16">
        <f ca="1">IF(EB.Anwendung&lt;&gt;"",November!Monat.ein_aus_Pikett.Total,"")</f>
        <v>0</v>
      </c>
      <c r="T25" s="16">
        <f ca="1">IF(EB.Anwendung&lt;&gt;"",November!Monat.ND.Total,"")</f>
        <v>0</v>
      </c>
      <c r="U25" s="82">
        <f ca="1">IF(EB.Anwendung&lt;&gt;"",November!Monat.ZählerND.Total,"")</f>
        <v>0</v>
      </c>
      <c r="V25" s="16">
        <f ca="1">IF(EB.Anwendung&lt;&gt;"",November!Monat.ZZSND.Total,"")</f>
        <v>0</v>
      </c>
      <c r="W25" s="16">
        <f ca="1">IF(EB.Anwendung&lt;&gt;"",November!Monat.KompZZSND.Total,"")</f>
        <v>0</v>
      </c>
      <c r="X25" s="16">
        <f ca="1">IF(EB.Anwendung&lt;&gt;"",November!Monat.ZZNdUe,"")</f>
        <v>0</v>
      </c>
      <c r="Y25" s="16">
        <f ca="1">IF(EB.Anwendung&lt;&gt;"",November!Monat.Abendarbeit.Total,"")</f>
        <v>0</v>
      </c>
      <c r="Z25" s="16">
        <f ca="1">IF(EB.Anwendung&lt;&gt;"",November!Monat.BD.Total,"")</f>
        <v>0</v>
      </c>
      <c r="AA25" s="16">
        <f ca="1">IF(EB.Anwendung&lt;&gt;"",November!Monat.SD.Total,"")</f>
        <v>0</v>
      </c>
      <c r="AB25" s="209"/>
      <c r="AC25" s="16">
        <f ca="1">IF(IF(EB.Anwendung&lt;&gt;"",November!Monat.FerienKor.Total,"")="+",IF(EB.Anwendung&lt;&gt;"",November!Monat.Ferien.Total,"")-IF(EB.Anwendung&lt;&gt;"",November!Monat.FerienKor.Total,""),IF(EB.Anwendung&lt;&gt;"",November!Monat.Ferien.Total,"")+IF(EB.Anwendung&lt;&gt;"",November!Monat.FerienKor.Total,""))</f>
        <v>0</v>
      </c>
      <c r="AD25" s="16">
        <f ca="1">IF(EB.Anwendung&lt;&gt;"",November!Monat.AB.Total,"")</f>
        <v>0</v>
      </c>
      <c r="AE25" s="16">
        <f ca="1">IF(EB.Anwendung&lt;&gt;"",November!Monat.Krank.Total,"")</f>
        <v>0</v>
      </c>
      <c r="AF25" s="16">
        <f ca="1">IF(EB.Anwendung&lt;&gt;"",November!Monat.BU.Total,"")</f>
        <v>0</v>
      </c>
      <c r="AG25" s="16">
        <f ca="1">IF(EB.Anwendung&lt;&gt;"",November!Monat.NBU.Total,"")</f>
        <v>0</v>
      </c>
      <c r="AH25" s="16">
        <f ca="1">IF(EB.Anwendung&lt;&gt;"",November!Monat.Militaer.Total,"")</f>
        <v>0</v>
      </c>
      <c r="AI25" s="16">
        <f ca="1">IF(EB.Anwendung&lt;&gt;"",November!Monat.WB.Total,"")</f>
        <v>0</v>
      </c>
      <c r="AJ25" s="16">
        <f ca="1">IF(EB.Anwendung&lt;&gt;"",November!Monat.BesU.Total,"")</f>
        <v>0</v>
      </c>
      <c r="AK25" s="16">
        <f ca="1">IF(EB.Anwendung&lt;&gt;"",November!Monat.UnbesU.Total,"")</f>
        <v>0</v>
      </c>
      <c r="AL25" s="16">
        <f ca="1">IF(EB.Anwendung&lt;&gt;"",November!Monat.NB.Total,"")</f>
        <v>0</v>
      </c>
      <c r="AM25" s="16">
        <f ca="1">IF(EB.Anwendung&lt;&gt;"",November!Monat.DAG.Total,"")</f>
        <v>0</v>
      </c>
      <c r="AN25" s="323"/>
      <c r="AO25" s="16">
        <f ca="1">IF(EB.Anwendung&lt;&gt;"",November!Monat.ein_aus.Total,"")</f>
        <v>0</v>
      </c>
    </row>
    <row r="26" spans="1:45" s="38" customFormat="1" ht="15" customHeight="1" x14ac:dyDescent="0.2">
      <c r="A26" s="337" t="str">
        <f>INDEX(EB.Monate.Bereich,12,0)</f>
        <v>December</v>
      </c>
      <c r="B26" s="209"/>
      <c r="C26" s="20">
        <f t="shared" ca="1" si="0"/>
        <v>0</v>
      </c>
      <c r="D26" s="85">
        <f>IF(Eingabeblatt!H24="","-     ",Eingabeblatt!H24)</f>
        <v>100</v>
      </c>
      <c r="E26" s="20">
        <f ca="1">Eingabeblatt!I24</f>
        <v>7.4249999999999972</v>
      </c>
      <c r="F26" s="20">
        <f ca="1">IF(EB.Anwendung&lt;&gt;"",December!Monat.Soll_Ist_UeVM,"")</f>
        <v>-7.4249999999999972</v>
      </c>
      <c r="G26" s="20">
        <f t="shared" ca="1" si="1"/>
        <v>88.07499999999996</v>
      </c>
      <c r="H26" s="323"/>
      <c r="I26" s="16">
        <f ca="1">IF(EB.Anwendung&lt;&gt;"",December!Monat.AnUeZ.Total,"")</f>
        <v>0</v>
      </c>
      <c r="J26" s="16">
        <f ca="1">IF(EB.Anwendung&lt;&gt;"",December!Monat.KomUeZ.Total,"")</f>
        <v>0</v>
      </c>
      <c r="K26" s="16" t="str">
        <f ca="1">IF(IF(EB.Anwendung&lt;&gt;"",December!Monat.UeZ.Saldo,"")&lt;=0,"-     ",IF(EB.Anwendung&lt;&gt;"",December!Monat.UeZ.Saldo,""))</f>
        <v xml:space="preserve">-     </v>
      </c>
      <c r="L26" s="16" t="str">
        <f ca="1">IF(IF(EB.Anwendung&lt;&gt;"",December!Monat.ZS.Total,"")&lt;=0,"-     ",IF(EB.Anwendung&lt;&gt;"",December!Monat.ZS.Total,""))</f>
        <v xml:space="preserve">-     </v>
      </c>
      <c r="M26" s="16">
        <f ca="1">IF(EB.Anwendung&lt;&gt;"",December!Monat.UeZ.Total,"")</f>
        <v>0</v>
      </c>
      <c r="N26" s="136"/>
      <c r="O26" s="20">
        <f ca="1">IF(EB.Anwendung&lt;&gt;"",December!Monat.Soll_Ist_UeVM-December!Monat.AnUeZ.Total,"")</f>
        <v>-7.4249999999999972</v>
      </c>
      <c r="P26" s="16">
        <f ca="1">IF(EB.Anwendung&lt;&gt;"",December!Monat.KomAZ.Total,"")</f>
        <v>0</v>
      </c>
      <c r="Q26" s="213"/>
      <c r="R26" s="82" t="str">
        <f ca="1">IF(EB.Anwendung&lt;&gt;"",December!Monat.Pikett.Zähler,"")</f>
        <v>0 / 0 / 0</v>
      </c>
      <c r="S26" s="16">
        <f ca="1">IF(EB.Anwendung&lt;&gt;"",December!Monat.ein_aus_Pikett.Total,"")</f>
        <v>0</v>
      </c>
      <c r="T26" s="16">
        <f ca="1">IF(EB.Anwendung&lt;&gt;"",December!Monat.ND.Total,"")</f>
        <v>0</v>
      </c>
      <c r="U26" s="82">
        <f ca="1">IF(EB.Anwendung&lt;&gt;"",December!Monat.ZählerND.Total,"")</f>
        <v>0</v>
      </c>
      <c r="V26" s="16">
        <f ca="1">IF(EB.Anwendung&lt;&gt;"",December!Monat.ZZSND.Total,"")</f>
        <v>0</v>
      </c>
      <c r="W26" s="16">
        <f ca="1">IF(EB.Anwendung&lt;&gt;"",December!Monat.KompZZSND.Total,"")</f>
        <v>0</v>
      </c>
      <c r="X26" s="16">
        <f ca="1">IF(EB.Anwendung&lt;&gt;"",December!Monat.ZZNdUe,"")</f>
        <v>0</v>
      </c>
      <c r="Y26" s="16">
        <f ca="1">IF(EB.Anwendung&lt;&gt;"",December!Monat.Abendarbeit.Total,"")</f>
        <v>0</v>
      </c>
      <c r="Z26" s="16">
        <f ca="1">IF(EB.Anwendung&lt;&gt;"",December!Monat.BD.Total,"")</f>
        <v>0</v>
      </c>
      <c r="AA26" s="16">
        <f ca="1">IF(EB.Anwendung&lt;&gt;"",December!Monat.SD.Total,"")</f>
        <v>0</v>
      </c>
      <c r="AB26" s="209"/>
      <c r="AC26" s="16">
        <f ca="1">IF(IF(EB.Anwendung&lt;&gt;"",December!Monat.FerienKor.Total,"")="+",IF(EB.Anwendung&lt;&gt;"",December!Monat.Ferien.Total,"")-IF(EB.Anwendung&lt;&gt;"",December!Monat.FerienKor.Total,""),IF(EB.Anwendung&lt;&gt;"",December!Monat.Ferien.Total,"")+IF(EB.Anwendung&lt;&gt;"",December!Monat.FerienKor.Total,""))</f>
        <v>0</v>
      </c>
      <c r="AD26" s="16">
        <f ca="1">IF(EB.Anwendung&lt;&gt;"",December!Monat.AB.Total,"")</f>
        <v>0</v>
      </c>
      <c r="AE26" s="16">
        <f ca="1">IF(EB.Anwendung&lt;&gt;"",December!Monat.Krank.Total,"")</f>
        <v>0</v>
      </c>
      <c r="AF26" s="16">
        <f ca="1">IF(EB.Anwendung&lt;&gt;"",December!Monat.BU.Total,"")</f>
        <v>0</v>
      </c>
      <c r="AG26" s="16">
        <f ca="1">IF(EB.Anwendung&lt;&gt;"",December!Monat.NBU.Total,"")</f>
        <v>0</v>
      </c>
      <c r="AH26" s="16">
        <f ca="1">IF(EB.Anwendung&lt;&gt;"",December!Monat.Militaer.Total,"")</f>
        <v>0</v>
      </c>
      <c r="AI26" s="16">
        <f ca="1">IF(EB.Anwendung&lt;&gt;"",December!Monat.WB.Total,"")</f>
        <v>0</v>
      </c>
      <c r="AJ26" s="16">
        <f ca="1">IF(EB.Anwendung&lt;&gt;"",December!Monat.BesU.Total,"")</f>
        <v>0</v>
      </c>
      <c r="AK26" s="16">
        <f ca="1">IF(EB.Anwendung&lt;&gt;"",December!Monat.UnbesU.Total,"")</f>
        <v>0</v>
      </c>
      <c r="AL26" s="16">
        <f ca="1">IF(EB.Anwendung&lt;&gt;"",December!Monat.NB.Total,"")</f>
        <v>0</v>
      </c>
      <c r="AM26" s="16">
        <f ca="1">IF(EB.Anwendung&lt;&gt;"",December!Monat.DAG.Total,"")</f>
        <v>0</v>
      </c>
      <c r="AN26" s="323"/>
      <c r="AO26" s="16">
        <f ca="1">IF(EB.Anwendung&lt;&gt;"",December!Monat.ein_aus.Total,"")</f>
        <v>0</v>
      </c>
    </row>
    <row r="27" spans="1:45" s="38" customFormat="1" ht="15" customHeight="1" x14ac:dyDescent="0.2">
      <c r="A27" s="215" t="s">
        <v>0</v>
      </c>
      <c r="B27" s="136"/>
      <c r="C27" s="338">
        <f ca="1">SUM(C15:C26)</f>
        <v>0</v>
      </c>
      <c r="D27" s="339">
        <f ca="1">EB.BG_Total</f>
        <v>100</v>
      </c>
      <c r="E27" s="338">
        <f ca="1">SUM(E15:E26)</f>
        <v>88.07499999999996</v>
      </c>
      <c r="F27" s="338">
        <f ca="1">SUM(F15:F26)</f>
        <v>-88.07499999999996</v>
      </c>
      <c r="G27" s="191"/>
      <c r="H27" s="136"/>
      <c r="I27" s="338">
        <f ca="1">SUM(I15:I26)</f>
        <v>0</v>
      </c>
      <c r="J27" s="338">
        <f ca="1">SUM(J15:J26)</f>
        <v>0</v>
      </c>
      <c r="K27" s="338">
        <f ca="1">SUM(K15:K26)</f>
        <v>0</v>
      </c>
      <c r="L27" s="338">
        <f ca="1">SUM(L15:L26)</f>
        <v>0</v>
      </c>
      <c r="M27" s="338">
        <f ca="1">SUM(M15:M26)</f>
        <v>0</v>
      </c>
      <c r="N27" s="136"/>
      <c r="O27" s="338">
        <f ca="1">SUM(O15:O26)</f>
        <v>-88.07499999999996</v>
      </c>
      <c r="P27" s="338">
        <f ca="1">SUM(P15:P26)</f>
        <v>0</v>
      </c>
      <c r="Q27" s="136"/>
      <c r="R27" s="340" t="str">
        <f ca="1">LEFT(R15,2)+LEFT(R16,2)+LEFT(R17,2)+LEFT(R18,2)+LEFT(R19,2)+LEFT(R20,2)+LEFT(R21,2)+LEFT(R22,2)+LEFT(R23,2)+LEFT(R24,2)+LEFT(R25,2)+LEFT(R26,2)&amp; " / "&amp;MID(R15,FIND("/",R15)+2,2)+MID(R16,FIND("/",R16)+2,2)+MID(R17,FIND("/",R17)+2,2)+MID(R18,FIND("/",R18)+2,2)+MID(R19,FIND("/",R19)+2,2)+MID(R20,FIND("/",R20)+2,2)+MID(R21,FIND("/",R21)+2,2)+MID(R22,FIND("/",R22)+2,2)+MID(R23,FIND("/",R23)+2,2)+MID(R24,FIND("/",R24)+2,2)+MID(R25,FIND("/",R25)+2,2)+MID(R26,FIND("/",R26)+2,2)&amp; " / "&amp;RIGHT(R15,2)+RIGHT(R16,2)+RIGHT(R17,2)+RIGHT(R18,2)+RIGHT(R19,2)+RIGHT(R20,2)+RIGHT(R21,2)+RIGHT(R22,2)+RIGHT(R23,2)+RIGHT(R24,2)+RIGHT(R25,2)+RIGHT(R26,2)</f>
        <v>0 / 0 / 0</v>
      </c>
      <c r="S27" s="338">
        <f ca="1">SUM(S15:S26)</f>
        <v>0</v>
      </c>
      <c r="T27" s="338">
        <f ca="1">SUM(T15:T26)</f>
        <v>0</v>
      </c>
      <c r="U27" s="341">
        <f ca="1">SUM(U15:U26)</f>
        <v>0</v>
      </c>
      <c r="V27" s="338">
        <f t="shared" ref="V27:Y27" ca="1" si="2">SUM(V15:V26)</f>
        <v>0</v>
      </c>
      <c r="W27" s="338">
        <f ca="1">SUM(W15:W26)</f>
        <v>0</v>
      </c>
      <c r="X27" s="338">
        <f ca="1">X26</f>
        <v>0</v>
      </c>
      <c r="Y27" s="338">
        <f t="shared" ca="1" si="2"/>
        <v>0</v>
      </c>
      <c r="Z27" s="338">
        <f ca="1">SUM(Z15:Z26)</f>
        <v>0</v>
      </c>
      <c r="AA27" s="338">
        <f ca="1">SUM(AA15:AA26)</f>
        <v>0</v>
      </c>
      <c r="AB27" s="136"/>
      <c r="AC27" s="338">
        <f ca="1">SUM(AC15:AC26)</f>
        <v>0</v>
      </c>
      <c r="AD27" s="338">
        <f t="shared" ref="AD27:AK27" ca="1" si="3">SUM(AD15:AD26)</f>
        <v>0</v>
      </c>
      <c r="AE27" s="338">
        <f t="shared" ca="1" si="3"/>
        <v>0</v>
      </c>
      <c r="AF27" s="338">
        <f t="shared" ca="1" si="3"/>
        <v>0</v>
      </c>
      <c r="AG27" s="338">
        <f t="shared" ca="1" si="3"/>
        <v>0</v>
      </c>
      <c r="AH27" s="338">
        <f t="shared" ca="1" si="3"/>
        <v>0</v>
      </c>
      <c r="AI27" s="338">
        <f t="shared" ca="1" si="3"/>
        <v>0</v>
      </c>
      <c r="AJ27" s="338">
        <f t="shared" ca="1" si="3"/>
        <v>0</v>
      </c>
      <c r="AK27" s="338">
        <f t="shared" ca="1" si="3"/>
        <v>0</v>
      </c>
      <c r="AL27" s="338">
        <f t="shared" ref="AL27:AM27" ca="1" si="4">SUM(AL15:AL26)</f>
        <v>0</v>
      </c>
      <c r="AM27" s="338">
        <f t="shared" ca="1" si="4"/>
        <v>0</v>
      </c>
      <c r="AN27" s="136"/>
      <c r="AO27" s="338">
        <f t="shared" ref="AO27" ca="1" si="5">SUM(AO15:AO26)</f>
        <v>0</v>
      </c>
    </row>
    <row r="28" spans="1:45" s="38" customFormat="1" ht="15" customHeight="1" x14ac:dyDescent="0.2">
      <c r="A28" s="215" t="s">
        <v>94</v>
      </c>
      <c r="B28" s="136"/>
      <c r="C28" s="226"/>
      <c r="D28" s="136"/>
      <c r="E28" s="226"/>
      <c r="F28" s="226"/>
      <c r="G28" s="191"/>
      <c r="H28" s="136"/>
      <c r="I28" s="251"/>
      <c r="J28" s="251"/>
      <c r="K28" s="251"/>
      <c r="L28" s="342"/>
      <c r="M28" s="338">
        <f ca="1">M13+J.UeZ.Total</f>
        <v>0</v>
      </c>
      <c r="N28" s="136"/>
      <c r="O28" s="338">
        <f ca="1">O13+O27</f>
        <v>-88.07499999999996</v>
      </c>
      <c r="P28" s="343">
        <f ca="1">P12-P27</f>
        <v>5.25</v>
      </c>
      <c r="Q28" s="136"/>
      <c r="R28" s="251"/>
      <c r="S28" s="251"/>
      <c r="T28" s="251"/>
      <c r="U28" s="344"/>
      <c r="V28" s="251"/>
      <c r="W28" s="251"/>
      <c r="X28" s="251"/>
      <c r="Y28" s="251"/>
      <c r="Z28" s="251"/>
      <c r="AA28" s="251"/>
      <c r="AB28" s="136"/>
      <c r="AC28" s="343">
        <f ca="1">AC12+AC13-AC27</f>
        <v>0</v>
      </c>
      <c r="AD28" s="345"/>
      <c r="AE28" s="251"/>
      <c r="AF28" s="251"/>
      <c r="AG28" s="251"/>
      <c r="AH28" s="251"/>
      <c r="AI28" s="251"/>
      <c r="AJ28" s="251"/>
      <c r="AK28" s="251"/>
      <c r="AL28" s="342"/>
      <c r="AM28" s="343">
        <f ca="1">SUM(AM12:AM13)-AM27</f>
        <v>0</v>
      </c>
      <c r="AN28" s="136"/>
      <c r="AO28" s="226"/>
    </row>
    <row r="29" spans="1:45" s="41" customFormat="1" ht="30" customHeight="1" x14ac:dyDescent="0.2">
      <c r="A29" s="346" t="s">
        <v>95</v>
      </c>
      <c r="B29" s="347"/>
      <c r="C29" s="347"/>
      <c r="D29" s="347"/>
      <c r="E29" s="347"/>
      <c r="F29" s="347"/>
      <c r="G29" s="296"/>
      <c r="H29" s="347"/>
      <c r="I29" s="348"/>
      <c r="J29" s="348"/>
      <c r="K29" s="348"/>
      <c r="L29" s="348"/>
      <c r="M29" s="58">
        <f ca="1">M28</f>
        <v>0</v>
      </c>
      <c r="N29" s="347"/>
      <c r="O29" s="58">
        <f ca="1">O28</f>
        <v>-88.07499999999996</v>
      </c>
      <c r="P29" s="348"/>
      <c r="Q29" s="347"/>
      <c r="R29" s="348"/>
      <c r="S29" s="348"/>
      <c r="T29" s="348"/>
      <c r="U29" s="348"/>
      <c r="V29" s="348"/>
      <c r="W29" s="348"/>
      <c r="X29" s="84">
        <f ca="1">Jahr.ZZSNDSaldo</f>
        <v>0</v>
      </c>
      <c r="Y29" s="348"/>
      <c r="Z29" s="348"/>
      <c r="AA29" s="348"/>
      <c r="AB29" s="347"/>
      <c r="AC29" s="58">
        <f ca="1">AC28</f>
        <v>0</v>
      </c>
      <c r="AD29" s="439" t="str">
        <f ca="1">IFERROR(IF(J.FerienUE.Total&gt;T.BWFFeriensaldo,IF(EB.Sprache="EN","This vacation carryover has to be approved.","Dieser Feriensaldo ist bewilligungspflichtig."),""),"")</f>
        <v/>
      </c>
      <c r="AE29" s="348"/>
      <c r="AF29" s="348"/>
      <c r="AG29" s="348"/>
      <c r="AH29" s="348"/>
      <c r="AI29" s="348"/>
      <c r="AJ29" s="348"/>
      <c r="AK29" s="348"/>
      <c r="AL29" s="348"/>
      <c r="AM29" s="58">
        <f ca="1">AM28</f>
        <v>0</v>
      </c>
      <c r="AN29" s="347"/>
      <c r="AO29" s="347"/>
    </row>
    <row r="30" spans="1:45" s="38" customFormat="1" ht="15" customHeight="1" x14ac:dyDescent="0.2">
      <c r="A30" s="106"/>
      <c r="B30" s="119"/>
      <c r="C30" s="119"/>
      <c r="D30" s="119"/>
      <c r="E30" s="119"/>
      <c r="F30" s="119"/>
      <c r="G30" s="188"/>
      <c r="H30" s="119"/>
      <c r="I30" s="119"/>
      <c r="J30" s="119"/>
      <c r="K30" s="119"/>
      <c r="L30" s="119"/>
      <c r="M30" s="119"/>
      <c r="N30" s="192" t="str">
        <f ca="1">IF(AND(EB.LKgr16=INDEX(T.JaNein.Bereich,1,1),EB.ÜZZSBerechtigt=INDEX(T.JaNein.Bereich,1,1)),IF(EB.Sprache="DE","Summe ÜZ+RAZ:","Total OT+SH:"),"")</f>
        <v/>
      </c>
      <c r="O30" s="57" t="str">
        <f ca="1">IF(AND(EB.LKgr16=INDEX(T.JaNein.Bereich,1,1),EB.ÜZZSBerechtigt=INDEX(T.JaNein.Bereich,1,1)),Jahr.UeziZSUE.Total+J.MMSUE.Total,"")</f>
        <v/>
      </c>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S30" s="54"/>
    </row>
    <row r="31" spans="1:45" s="38" customFormat="1" ht="15" customHeight="1" x14ac:dyDescent="0.2">
      <c r="A31" s="215" t="s">
        <v>96</v>
      </c>
      <c r="B31" s="136"/>
      <c r="C31" s="338">
        <f ca="1">SUM(C15:C20)</f>
        <v>0</v>
      </c>
      <c r="D31" s="347"/>
      <c r="E31" s="338">
        <f ca="1">SUM(E15:E20)</f>
        <v>42.674999999999983</v>
      </c>
      <c r="F31" s="338">
        <f ca="1">SUM(F15:F20)</f>
        <v>-42.674999999999983</v>
      </c>
      <c r="G31" s="191"/>
      <c r="H31" s="136"/>
      <c r="I31" s="338">
        <f t="shared" ref="I31:M31" ca="1" si="6">SUM(I15:I20)</f>
        <v>0</v>
      </c>
      <c r="J31" s="338">
        <f t="shared" ca="1" si="6"/>
        <v>0</v>
      </c>
      <c r="K31" s="338">
        <f t="shared" ca="1" si="6"/>
        <v>0</v>
      </c>
      <c r="L31" s="338">
        <f t="shared" ca="1" si="6"/>
        <v>0</v>
      </c>
      <c r="M31" s="338">
        <f t="shared" ca="1" si="6"/>
        <v>0</v>
      </c>
      <c r="N31" s="136"/>
      <c r="O31" s="338">
        <f ca="1">SUM(O15:O20)</f>
        <v>-42.674999999999983</v>
      </c>
      <c r="P31" s="338">
        <f ca="1">SUM(P15:P20)</f>
        <v>0</v>
      </c>
      <c r="Q31" s="136"/>
      <c r="R31" s="340" t="str">
        <f ca="1">LEFT(R15,2)+LEFT(R16,2)+LEFT(R17,2)+LEFT(R18,2)+LEFT(R19,2)+LEFT(R20,2)&amp; " / "&amp;MID(R15,FIND("/",R15)+2,2)+MID(R16,FIND("/",R16)+2,2)+MID(R17,FIND("/",R17)+2,2)+MID(R18,FIND("/",R18)+2,2)+MID(R19,FIND("/",R19)+2,2)+MID(R20,FIND("/",R20)+2,2)&amp; " / "&amp;RIGHT(R15,2)+RIGHT(R16,2)+RIGHT(R17,2)+RIGHT(R18,2)+RIGHT(R19,2)+RIGHT(R20,2)</f>
        <v>0 / 0 / 0</v>
      </c>
      <c r="S31" s="338">
        <f ca="1">SUM(S15:S20)</f>
        <v>0</v>
      </c>
      <c r="T31" s="338">
        <f ca="1">SUM(T15:T20)</f>
        <v>0</v>
      </c>
      <c r="U31" s="341">
        <f t="shared" ref="U31:Y31" ca="1" si="7">SUM(U15:U20)</f>
        <v>0</v>
      </c>
      <c r="V31" s="338">
        <f t="shared" ca="1" si="7"/>
        <v>0</v>
      </c>
      <c r="W31" s="338">
        <f ca="1">SUM(W15:W20)</f>
        <v>0</v>
      </c>
      <c r="X31" s="338">
        <f ca="1">X20</f>
        <v>0</v>
      </c>
      <c r="Y31" s="338">
        <f t="shared" ca="1" si="7"/>
        <v>0</v>
      </c>
      <c r="Z31" s="338">
        <f ca="1">SUM(Z15:Z20)</f>
        <v>0</v>
      </c>
      <c r="AA31" s="338">
        <f ca="1">SUM(AA15:AA20)</f>
        <v>0</v>
      </c>
      <c r="AB31" s="136"/>
      <c r="AC31" s="338">
        <f t="shared" ref="AC31:AM31" ca="1" si="8">SUM(AC15:AC20)</f>
        <v>0</v>
      </c>
      <c r="AD31" s="338">
        <f t="shared" ca="1" si="8"/>
        <v>0</v>
      </c>
      <c r="AE31" s="338">
        <f t="shared" ca="1" si="8"/>
        <v>0</v>
      </c>
      <c r="AF31" s="338">
        <f t="shared" ca="1" si="8"/>
        <v>0</v>
      </c>
      <c r="AG31" s="338">
        <f t="shared" ca="1" si="8"/>
        <v>0</v>
      </c>
      <c r="AH31" s="338">
        <f t="shared" ca="1" si="8"/>
        <v>0</v>
      </c>
      <c r="AI31" s="338">
        <f t="shared" ca="1" si="8"/>
        <v>0</v>
      </c>
      <c r="AJ31" s="338">
        <f t="shared" ca="1" si="8"/>
        <v>0</v>
      </c>
      <c r="AK31" s="338">
        <f t="shared" ca="1" si="8"/>
        <v>0</v>
      </c>
      <c r="AL31" s="338">
        <f t="shared" ca="1" si="8"/>
        <v>0</v>
      </c>
      <c r="AM31" s="338">
        <f t="shared" ca="1" si="8"/>
        <v>0</v>
      </c>
      <c r="AN31" s="136"/>
      <c r="AO31" s="338">
        <f t="shared" ref="AO31" ca="1" si="9">SUM(AO15:AO20)</f>
        <v>0</v>
      </c>
    </row>
    <row r="32" spans="1:45" s="38" customFormat="1" ht="15" customHeight="1" x14ac:dyDescent="0.2">
      <c r="A32" s="215" t="s">
        <v>97</v>
      </c>
      <c r="B32" s="136"/>
      <c r="C32" s="338">
        <f ca="1">SUM(C21:C26)</f>
        <v>0</v>
      </c>
      <c r="D32" s="347"/>
      <c r="E32" s="338">
        <f ca="1">SUM(E21:E26)</f>
        <v>45.399999999999977</v>
      </c>
      <c r="F32" s="338">
        <f ca="1">SUM(F21:F26)</f>
        <v>-45.399999999999977</v>
      </c>
      <c r="G32" s="191"/>
      <c r="H32" s="136"/>
      <c r="I32" s="338">
        <f t="shared" ref="I32:M32" ca="1" si="10">SUM(I21:I26)</f>
        <v>0</v>
      </c>
      <c r="J32" s="338">
        <f t="shared" ca="1" si="10"/>
        <v>0</v>
      </c>
      <c r="K32" s="338">
        <f t="shared" ca="1" si="10"/>
        <v>0</v>
      </c>
      <c r="L32" s="338">
        <f t="shared" ca="1" si="10"/>
        <v>0</v>
      </c>
      <c r="M32" s="338">
        <f t="shared" ca="1" si="10"/>
        <v>0</v>
      </c>
      <c r="N32" s="136"/>
      <c r="O32" s="338">
        <f ca="1">SUM(O21:O26)</f>
        <v>-45.399999999999977</v>
      </c>
      <c r="P32" s="338">
        <f ca="1">SUM(P21:P26)</f>
        <v>0</v>
      </c>
      <c r="Q32" s="136"/>
      <c r="R32" s="340" t="str">
        <f ca="1">LEFT(R21,2)+LEFT(R22,2)+LEFT(R23,2)+LEFT(R24,2)+LEFT(R25,2)+LEFT(R26,2)&amp; " / "&amp;MID(R21,FIND("/",R21)+2,2)+MID(R22,FIND("/",R22)+2,2)+MID(R23,FIND("/",R23)+2,2)+MID(R24,FIND("/",R24)+2,2)+MID(R25,FIND("/",R25)+2,2)+MID(R26,FIND("/",R26)+2,2)&amp; " / "&amp; RIGHT(R21,2)+RIGHT(R22,2)+RIGHT(R23,2)+RIGHT(R24,2)+RIGHT(R25,2)+RIGHT(R26,2)</f>
        <v>0 / 0 / 0</v>
      </c>
      <c r="S32" s="338">
        <f ca="1">SUM(S21:S26)</f>
        <v>0</v>
      </c>
      <c r="T32" s="338">
        <f ca="1">SUM(T21:T26)</f>
        <v>0</v>
      </c>
      <c r="U32" s="341">
        <f t="shared" ref="U32:Y32" ca="1" si="11">SUM(U21:U26)</f>
        <v>0</v>
      </c>
      <c r="V32" s="338">
        <f t="shared" ca="1" si="11"/>
        <v>0</v>
      </c>
      <c r="W32" s="338">
        <f ca="1">SUM(W21:W26)</f>
        <v>0</v>
      </c>
      <c r="X32" s="338">
        <f ca="1">X26</f>
        <v>0</v>
      </c>
      <c r="Y32" s="338">
        <f t="shared" ca="1" si="11"/>
        <v>0</v>
      </c>
      <c r="Z32" s="338">
        <f ca="1">SUM(Z21:Z26)</f>
        <v>0</v>
      </c>
      <c r="AA32" s="338">
        <f ca="1">SUM(AA21:AA26)</f>
        <v>0</v>
      </c>
      <c r="AB32" s="136"/>
      <c r="AC32" s="338">
        <f t="shared" ref="AC32:AM32" ca="1" si="12">SUM(AC21:AC26)</f>
        <v>0</v>
      </c>
      <c r="AD32" s="338">
        <f t="shared" ca="1" si="12"/>
        <v>0</v>
      </c>
      <c r="AE32" s="338">
        <f t="shared" ca="1" si="12"/>
        <v>0</v>
      </c>
      <c r="AF32" s="338">
        <f t="shared" ca="1" si="12"/>
        <v>0</v>
      </c>
      <c r="AG32" s="338">
        <f t="shared" ca="1" si="12"/>
        <v>0</v>
      </c>
      <c r="AH32" s="338">
        <f t="shared" ca="1" si="12"/>
        <v>0</v>
      </c>
      <c r="AI32" s="338">
        <f t="shared" ca="1" si="12"/>
        <v>0</v>
      </c>
      <c r="AJ32" s="338">
        <f t="shared" ca="1" si="12"/>
        <v>0</v>
      </c>
      <c r="AK32" s="338">
        <f t="shared" ca="1" si="12"/>
        <v>0</v>
      </c>
      <c r="AL32" s="338">
        <f t="shared" ca="1" si="12"/>
        <v>0</v>
      </c>
      <c r="AM32" s="338">
        <f t="shared" ca="1" si="12"/>
        <v>0</v>
      </c>
      <c r="AN32" s="136"/>
      <c r="AO32" s="338">
        <f t="shared" ref="AO32" ca="1" si="13">SUM(AO21:AO26)</f>
        <v>0</v>
      </c>
    </row>
    <row r="33" spans="1:45" ht="12" customHeight="1" x14ac:dyDescent="0.2">
      <c r="A33" s="304"/>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296"/>
      <c r="AO33" s="123"/>
      <c r="AR33" s="50"/>
      <c r="AS33" s="37"/>
    </row>
    <row r="34" spans="1:45" ht="57" customHeight="1" x14ac:dyDescent="0.2">
      <c r="A34" s="303" t="s">
        <v>228</v>
      </c>
      <c r="B34" s="123"/>
      <c r="C34" s="503"/>
      <c r="D34" s="503"/>
      <c r="E34" s="503"/>
      <c r="F34" s="503"/>
      <c r="G34" s="503"/>
      <c r="H34" s="503"/>
      <c r="I34" s="503"/>
      <c r="J34" s="503"/>
      <c r="K34" s="503"/>
      <c r="L34" s="503"/>
      <c r="M34" s="503"/>
      <c r="N34" s="503"/>
      <c r="O34" s="503"/>
      <c r="P34" s="503"/>
      <c r="Q34" s="503"/>
      <c r="R34" s="123"/>
      <c r="S34" s="123"/>
      <c r="T34" s="123"/>
      <c r="U34" s="123"/>
      <c r="V34" s="347"/>
      <c r="W34" s="347"/>
      <c r="X34" s="347"/>
      <c r="Y34" s="347"/>
      <c r="Z34" s="347"/>
      <c r="AA34" s="347"/>
      <c r="AB34" s="347"/>
      <c r="AC34" s="502" t="s">
        <v>234</v>
      </c>
      <c r="AD34" s="502"/>
      <c r="AE34" s="502"/>
      <c r="AF34" s="502"/>
      <c r="AG34" s="502"/>
      <c r="AH34" s="502"/>
      <c r="AI34" s="503"/>
      <c r="AJ34" s="503"/>
      <c r="AK34" s="503"/>
      <c r="AL34" s="503"/>
      <c r="AM34" s="503"/>
      <c r="AN34" s="123"/>
      <c r="AO34" s="123"/>
    </row>
    <row r="35" spans="1:45" ht="12" customHeight="1" x14ac:dyDescent="0.2">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296"/>
      <c r="AN35" s="123"/>
      <c r="AO35" s="123"/>
    </row>
    <row r="36" spans="1:45" ht="12" customHeight="1" x14ac:dyDescent="0.2">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296"/>
      <c r="AN36" s="123"/>
      <c r="AO36" s="123"/>
    </row>
  </sheetData>
  <sheetProtection sheet="1" objects="1" scenarios="1"/>
  <dataConsolidate/>
  <mergeCells count="23">
    <mergeCell ref="C7:P7"/>
    <mergeCell ref="C5:P5"/>
    <mergeCell ref="C6:P6"/>
    <mergeCell ref="C1:H1"/>
    <mergeCell ref="I1:AJ1"/>
    <mergeCell ref="C2:P2"/>
    <mergeCell ref="C3:P3"/>
    <mergeCell ref="C4:P4"/>
    <mergeCell ref="AC2:AG2"/>
    <mergeCell ref="AC3:AG3"/>
    <mergeCell ref="AC4:AG4"/>
    <mergeCell ref="AJ2:AM2"/>
    <mergeCell ref="AH2:AI2"/>
    <mergeCell ref="AH3:AM3"/>
    <mergeCell ref="AH4:AM4"/>
    <mergeCell ref="AC34:AH34"/>
    <mergeCell ref="C34:Q34"/>
    <mergeCell ref="AI34:AM34"/>
    <mergeCell ref="C9:G9"/>
    <mergeCell ref="I9:M9"/>
    <mergeCell ref="O9:P9"/>
    <mergeCell ref="R9:AA9"/>
    <mergeCell ref="AC9:AM9"/>
  </mergeCells>
  <phoneticPr fontId="5" type="noConversion"/>
  <conditionalFormatting sqref="W27 X13">
    <cfRule type="expression" dxfId="12" priority="3">
      <formula>$W$27&lt;$X$13</formula>
    </cfRule>
  </conditionalFormatting>
  <conditionalFormatting sqref="AC4:AM4">
    <cfRule type="expression" dxfId="11" priority="2">
      <formula>EB.WeitereAngaben=""</formula>
    </cfRule>
  </conditionalFormatting>
  <conditionalFormatting sqref="N30:O30">
    <cfRule type="expression" dxfId="10" priority="4">
      <formula>OR(EB.LKgr16&lt;&gt;INDEX(T.JaNein.Bereich,1,1),EB.ÜZZSBerechtigt&lt;&gt;INDEX(T.JaNein.Bereich,1,1))</formula>
    </cfRule>
  </conditionalFormatting>
  <printOptions horizontalCentered="1"/>
  <pageMargins left="0.19685039370078741" right="0.19685039370078741" top="0.39370078740157483" bottom="0.39370078740157483" header="0.31496062992125984" footer="0.19685039370078741"/>
  <pageSetup paperSize="9" scale="57" orientation="landscape" blackAndWhite="1" horizontalDpi="4294967292" verticalDpi="4294967292" r:id="rId1"/>
  <headerFooter alignWithMargins="0">
    <oddFooter>&amp;L&amp;"Arial,Standard"&amp;11&amp;A&amp;C&amp;"Arial,Standard"&amp;11&amp;D&amp;R&amp;"Arial,Standard"&amp;11&amp;P / &amp;N</oddFooter>
  </headerFooter>
  <legacy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5">
    <pageSetUpPr fitToPage="1"/>
  </sheetPr>
  <dimension ref="A1:AJ39"/>
  <sheetViews>
    <sheetView showGridLines="0" zoomScale="85" zoomScaleNormal="85" zoomScalePageLayoutView="85" workbookViewId="0"/>
  </sheetViews>
  <sheetFormatPr baseColWidth="10" defaultColWidth="10.75" defaultRowHeight="12.75" outlineLevelRow="1" x14ac:dyDescent="0.2"/>
  <cols>
    <col min="1" max="1" width="30.5" style="50" customWidth="1"/>
    <col min="2" max="15" width="7" style="50" customWidth="1"/>
    <col min="16" max="16" width="7" style="50" customWidth="1" collapsed="1"/>
    <col min="17" max="17" width="3.75" style="50" customWidth="1"/>
    <col min="18" max="18" width="7" style="50" customWidth="1"/>
    <col min="19" max="19" width="3.75" style="50" customWidth="1"/>
    <col min="20" max="20" width="7" style="50" customWidth="1"/>
    <col min="21" max="21" width="3.75" style="50" customWidth="1"/>
    <col min="22" max="16384" width="10.75" style="50"/>
  </cols>
  <sheetData>
    <row r="1" spans="1:36" s="38" customFormat="1" ht="23.25" customHeight="1" x14ac:dyDescent="0.2">
      <c r="A1" s="349" t="s">
        <v>102</v>
      </c>
      <c r="B1" s="350">
        <f>EB.Jahr</f>
        <v>2020</v>
      </c>
      <c r="C1" s="351"/>
      <c r="D1" s="351"/>
      <c r="E1" s="507" t="str">
        <f>Eingabeblatt!B1</f>
        <v>Employee Time Sheet</v>
      </c>
      <c r="F1" s="507"/>
      <c r="G1" s="507"/>
      <c r="H1" s="507"/>
      <c r="I1" s="507"/>
      <c r="J1" s="507"/>
      <c r="K1" s="507"/>
      <c r="L1" s="352"/>
      <c r="M1" s="308"/>
      <c r="N1" s="308"/>
      <c r="O1" s="308"/>
      <c r="P1" s="353"/>
      <c r="Q1" s="353"/>
      <c r="R1" s="353"/>
      <c r="S1" s="353"/>
      <c r="T1" s="308" t="str">
        <f>EB.Version</f>
        <v>Version 12.19</v>
      </c>
      <c r="U1" s="309" t="str">
        <f>EB.Sprache</f>
        <v>EN</v>
      </c>
    </row>
    <row r="2" spans="1:36" s="38" customFormat="1" ht="15" customHeight="1" x14ac:dyDescent="0.2">
      <c r="A2" s="119"/>
      <c r="B2" s="461" t="str">
        <f>Eingabeblatt!A3</f>
        <v>Name</v>
      </c>
      <c r="C2" s="474"/>
      <c r="D2" s="462"/>
      <c r="E2" s="499" t="str">
        <f>IF(EB.Name="","?",EB.Name)</f>
        <v>?</v>
      </c>
      <c r="F2" s="500"/>
      <c r="G2" s="500"/>
      <c r="H2" s="500"/>
      <c r="I2" s="500"/>
      <c r="J2" s="500"/>
      <c r="K2" s="501"/>
      <c r="L2" s="119"/>
      <c r="M2" s="461" t="s">
        <v>232</v>
      </c>
      <c r="N2" s="462"/>
      <c r="O2" s="511">
        <f ca="1">EB.BG_Total</f>
        <v>100</v>
      </c>
      <c r="P2" s="512"/>
      <c r="Q2" s="119"/>
      <c r="R2" s="119"/>
      <c r="S2" s="119"/>
      <c r="T2" s="119"/>
      <c r="U2" s="119"/>
    </row>
    <row r="3" spans="1:36" s="38" customFormat="1" ht="15" customHeight="1" x14ac:dyDescent="0.2">
      <c r="A3" s="119"/>
      <c r="B3" s="461" t="str">
        <f>Eingabeblatt!H2</f>
        <v>Function</v>
      </c>
      <c r="C3" s="474"/>
      <c r="D3" s="462"/>
      <c r="E3" s="483" t="str">
        <f>EB.Funktion</f>
        <v>Description of Function</v>
      </c>
      <c r="F3" s="484"/>
      <c r="G3" s="484"/>
      <c r="H3" s="484"/>
      <c r="I3" s="484"/>
      <c r="J3" s="484"/>
      <c r="K3" s="485"/>
      <c r="L3" s="119"/>
      <c r="M3" s="119"/>
      <c r="N3" s="119"/>
      <c r="O3" s="119"/>
      <c r="P3" s="119"/>
      <c r="Q3" s="119"/>
      <c r="R3" s="119"/>
      <c r="S3" s="119"/>
      <c r="T3" s="119"/>
      <c r="U3" s="119"/>
    </row>
    <row r="4" spans="1:36" s="38" customFormat="1" ht="15" customHeight="1" x14ac:dyDescent="0.2">
      <c r="A4" s="119"/>
      <c r="B4" s="461" t="str">
        <f>Eingabeblatt!H3</f>
        <v>Institute/Department</v>
      </c>
      <c r="C4" s="474"/>
      <c r="D4" s="462"/>
      <c r="E4" s="513" t="str">
        <f>EB.Institut</f>
        <v>Institute/Department Name</v>
      </c>
      <c r="F4" s="514"/>
      <c r="G4" s="514"/>
      <c r="H4" s="514"/>
      <c r="I4" s="514"/>
      <c r="J4" s="514"/>
      <c r="K4" s="515"/>
      <c r="L4" s="119"/>
      <c r="M4" s="119"/>
      <c r="N4" s="119"/>
      <c r="O4" s="119"/>
      <c r="P4" s="119"/>
      <c r="Q4" s="119"/>
      <c r="R4" s="119"/>
      <c r="S4" s="119"/>
      <c r="T4" s="119"/>
      <c r="U4" s="119"/>
    </row>
    <row r="5" spans="1:36" s="38" customFormat="1" ht="15" customHeight="1" x14ac:dyDescent="0.2">
      <c r="A5" s="119"/>
      <c r="B5" s="461" t="str">
        <f>Eingabeblatt!A5</f>
        <v>Employee Number</v>
      </c>
      <c r="C5" s="474"/>
      <c r="D5" s="462"/>
      <c r="E5" s="483" t="str">
        <f>IF(EB.Personalnummer="","?",EB.Personalnummer)</f>
        <v>?</v>
      </c>
      <c r="F5" s="484"/>
      <c r="G5" s="484"/>
      <c r="H5" s="484"/>
      <c r="I5" s="484"/>
      <c r="J5" s="484"/>
      <c r="K5" s="485"/>
      <c r="L5" s="119"/>
      <c r="M5" s="119"/>
      <c r="N5" s="119"/>
      <c r="O5" s="119"/>
      <c r="P5" s="119"/>
      <c r="Q5" s="119"/>
      <c r="R5" s="119"/>
      <c r="S5" s="119"/>
      <c r="T5" s="119"/>
      <c r="U5" s="119"/>
    </row>
    <row r="6" spans="1:36" s="38" customFormat="1" ht="15" customHeight="1" x14ac:dyDescent="0.2">
      <c r="A6" s="119"/>
      <c r="B6" s="461" t="str">
        <f>Eingabeblatt!H4</f>
        <v>Faculty</v>
      </c>
      <c r="C6" s="474"/>
      <c r="D6" s="462"/>
      <c r="E6" s="513" t="str">
        <f>EB.Fakultaet</f>
        <v>Select Faculty</v>
      </c>
      <c r="F6" s="514"/>
      <c r="G6" s="514"/>
      <c r="H6" s="514"/>
      <c r="I6" s="514"/>
      <c r="J6" s="514"/>
      <c r="K6" s="515"/>
      <c r="L6" s="119"/>
      <c r="M6" s="119"/>
      <c r="N6" s="119"/>
      <c r="O6" s="119"/>
      <c r="P6" s="119"/>
      <c r="Q6" s="119"/>
      <c r="R6" s="119"/>
      <c r="S6" s="119"/>
      <c r="T6" s="119"/>
      <c r="U6" s="119"/>
    </row>
    <row r="7" spans="1:36" s="38" customFormat="1" ht="15" customHeight="1" x14ac:dyDescent="0.2">
      <c r="A7" s="119"/>
      <c r="B7" s="461" t="str">
        <f>Eingabeblatt!H5</f>
        <v>Employee Category</v>
      </c>
      <c r="C7" s="474"/>
      <c r="D7" s="462"/>
      <c r="E7" s="513" t="str">
        <f>EB.Personalkategorie</f>
        <v>Select Employee Category</v>
      </c>
      <c r="F7" s="514"/>
      <c r="G7" s="514"/>
      <c r="H7" s="514"/>
      <c r="I7" s="514"/>
      <c r="J7" s="514"/>
      <c r="K7" s="515"/>
      <c r="L7" s="119"/>
      <c r="M7" s="119"/>
      <c r="N7" s="119"/>
      <c r="O7" s="119"/>
      <c r="P7" s="119"/>
      <c r="Q7" s="119"/>
      <c r="R7" s="119"/>
      <c r="S7" s="119"/>
      <c r="T7" s="119"/>
      <c r="U7" s="119"/>
      <c r="AJ7" s="54"/>
    </row>
    <row r="8" spans="1:36" s="38" customFormat="1" ht="11.25" customHeight="1" x14ac:dyDescent="0.2">
      <c r="A8" s="119"/>
      <c r="B8" s="354">
        <v>1</v>
      </c>
      <c r="C8" s="354">
        <v>2</v>
      </c>
      <c r="D8" s="354">
        <v>3</v>
      </c>
      <c r="E8" s="354">
        <v>4</v>
      </c>
      <c r="F8" s="354">
        <v>5</v>
      </c>
      <c r="G8" s="354">
        <v>6</v>
      </c>
      <c r="H8" s="354">
        <v>7</v>
      </c>
      <c r="I8" s="354">
        <v>8</v>
      </c>
      <c r="J8" s="354">
        <v>9</v>
      </c>
      <c r="K8" s="354">
        <v>10</v>
      </c>
      <c r="L8" s="354">
        <v>11</v>
      </c>
      <c r="M8" s="354">
        <v>12</v>
      </c>
      <c r="N8" s="354">
        <v>13</v>
      </c>
      <c r="O8" s="354">
        <v>14</v>
      </c>
      <c r="P8" s="354">
        <v>15</v>
      </c>
      <c r="Q8" s="119"/>
      <c r="R8" s="119"/>
      <c r="S8" s="119"/>
      <c r="T8" s="119"/>
      <c r="U8" s="119"/>
    </row>
    <row r="9" spans="1:36" s="55" customFormat="1" ht="159.75" customHeight="1" x14ac:dyDescent="0.2">
      <c r="A9" s="355"/>
      <c r="B9" s="356" t="str">
        <f t="shared" ref="B9:P9" si="0">IF(EB.AnzProjekte&gt;=B8,INDEX(EB.Projekte.Bereich,B8),"")</f>
        <v/>
      </c>
      <c r="C9" s="356" t="str">
        <f t="shared" si="0"/>
        <v/>
      </c>
      <c r="D9" s="356" t="str">
        <f t="shared" si="0"/>
        <v/>
      </c>
      <c r="E9" s="356" t="str">
        <f t="shared" si="0"/>
        <v/>
      </c>
      <c r="F9" s="356" t="str">
        <f t="shared" si="0"/>
        <v/>
      </c>
      <c r="G9" s="356" t="str">
        <f t="shared" si="0"/>
        <v/>
      </c>
      <c r="H9" s="356" t="str">
        <f t="shared" si="0"/>
        <v/>
      </c>
      <c r="I9" s="356" t="str">
        <f t="shared" si="0"/>
        <v/>
      </c>
      <c r="J9" s="356" t="str">
        <f t="shared" si="0"/>
        <v/>
      </c>
      <c r="K9" s="356" t="str">
        <f t="shared" si="0"/>
        <v/>
      </c>
      <c r="L9" s="356" t="str">
        <f t="shared" si="0"/>
        <v/>
      </c>
      <c r="M9" s="356" t="str">
        <f t="shared" si="0"/>
        <v/>
      </c>
      <c r="N9" s="356" t="str">
        <f t="shared" si="0"/>
        <v/>
      </c>
      <c r="O9" s="356" t="str">
        <f t="shared" si="0"/>
        <v/>
      </c>
      <c r="P9" s="356" t="str">
        <f t="shared" si="0"/>
        <v/>
      </c>
      <c r="Q9" s="119"/>
      <c r="R9" s="318" t="s">
        <v>99</v>
      </c>
      <c r="S9" s="119"/>
      <c r="T9" s="318" t="s">
        <v>233</v>
      </c>
      <c r="U9" s="119"/>
      <c r="V9" s="38"/>
      <c r="W9" s="38"/>
      <c r="X9" s="38"/>
      <c r="Y9" s="38"/>
      <c r="Z9" s="38"/>
      <c r="AA9" s="38"/>
      <c r="AB9" s="38"/>
      <c r="AC9" s="38"/>
      <c r="AD9" s="38"/>
      <c r="AE9" s="38"/>
      <c r="AF9" s="38"/>
      <c r="AG9" s="38"/>
      <c r="AH9" s="38"/>
    </row>
    <row r="10" spans="1:36" s="55" customFormat="1" ht="11.25" customHeight="1" x14ac:dyDescent="0.2">
      <c r="A10" s="357"/>
      <c r="B10" s="357"/>
      <c r="C10" s="357"/>
      <c r="D10" s="357"/>
      <c r="E10" s="357"/>
      <c r="F10" s="357"/>
      <c r="G10" s="357"/>
      <c r="H10" s="357"/>
      <c r="I10" s="357"/>
      <c r="J10" s="357"/>
      <c r="K10" s="357"/>
      <c r="L10" s="357"/>
      <c r="M10" s="357"/>
      <c r="N10" s="357"/>
      <c r="O10" s="357"/>
      <c r="P10" s="357"/>
      <c r="Q10" s="119"/>
      <c r="R10" s="315"/>
      <c r="S10" s="119"/>
      <c r="T10" s="315"/>
      <c r="U10" s="119"/>
    </row>
    <row r="11" spans="1:36" s="38" customFormat="1" ht="15" customHeight="1" x14ac:dyDescent="0.2">
      <c r="A11" s="337" t="str">
        <f>INDEX(EB.Monate.Bereich,1,0)</f>
        <v>January</v>
      </c>
      <c r="B11" s="66" t="str">
        <f>IF(B$9="","",IF(EB.Anwendung&lt;&gt;"",IF(INDEX(January!Monat.ProjekteTotal.Bereich,B$8)&lt;=0,0,INDEX(January!Monat.ProjekteTotal.Bereich,B$8)),""))</f>
        <v/>
      </c>
      <c r="C11" s="66" t="str">
        <f>IF(C$9="","",IF(EB.Anwendung&lt;&gt;"",IF(INDEX(January!Monat.ProjekteTotal.Bereich,C$8)&lt;=0,0,INDEX(January!Monat.ProjekteTotal.Bereich,C$8)),""))</f>
        <v/>
      </c>
      <c r="D11" s="66" t="str">
        <f>IF(D$9="","",IF(EB.Anwendung&lt;&gt;"",IF(INDEX(January!Monat.ProjekteTotal.Bereich,D$8)&lt;=0,0,INDEX(January!Monat.ProjekteTotal.Bereich,D$8)),""))</f>
        <v/>
      </c>
      <c r="E11" s="66" t="str">
        <f>IF(E$9="","",IF(EB.Anwendung&lt;&gt;"",IF(INDEX(January!Monat.ProjekteTotal.Bereich,E$8)&lt;=0,0,INDEX(January!Monat.ProjekteTotal.Bereich,E$8)),""))</f>
        <v/>
      </c>
      <c r="F11" s="66" t="str">
        <f>IF(F$9="","",IF(EB.Anwendung&lt;&gt;"",IF(INDEX(January!Monat.ProjekteTotal.Bereich,F$8)&lt;=0,0,INDEX(January!Monat.ProjekteTotal.Bereich,F$8)),""))</f>
        <v/>
      </c>
      <c r="G11" s="66" t="str">
        <f>IF(G$9="","",IF(EB.Anwendung&lt;&gt;"",IF(INDEX(January!Monat.ProjekteTotal.Bereich,G$8)&lt;=0,0,INDEX(January!Monat.ProjekteTotal.Bereich,G$8)),""))</f>
        <v/>
      </c>
      <c r="H11" s="66" t="str">
        <f>IF(H$9="","",IF(EB.Anwendung&lt;&gt;"",IF(INDEX(January!Monat.ProjekteTotal.Bereich,H$8)&lt;=0,0,INDEX(January!Monat.ProjekteTotal.Bereich,H$8)),""))</f>
        <v/>
      </c>
      <c r="I11" s="66" t="str">
        <f>IF(I$9="","",IF(EB.Anwendung&lt;&gt;"",IF(INDEX(January!Monat.ProjekteTotal.Bereich,I$8)&lt;=0,0,INDEX(January!Monat.ProjekteTotal.Bereich,I$8)),""))</f>
        <v/>
      </c>
      <c r="J11" s="66" t="str">
        <f>IF(J$9="","",IF(EB.Anwendung&lt;&gt;"",IF(INDEX(January!Monat.ProjekteTotal.Bereich,J$8)&lt;=0,0,INDEX(January!Monat.ProjekteTotal.Bereich,J$8)),""))</f>
        <v/>
      </c>
      <c r="K11" s="66" t="str">
        <f>IF(K$9="","",IF(EB.Anwendung&lt;&gt;"",IF(INDEX(January!Monat.ProjekteTotal.Bereich,K$8)&lt;=0,0,INDEX(January!Monat.ProjekteTotal.Bereich,K$8)),""))</f>
        <v/>
      </c>
      <c r="L11" s="66" t="str">
        <f>IF(L$9="","",IF(EB.Anwendung&lt;&gt;"",IF(INDEX(January!Monat.ProjekteTotal.Bereich,L$8)&lt;=0,0,INDEX(January!Monat.ProjekteTotal.Bereich,L$8)),""))</f>
        <v/>
      </c>
      <c r="M11" s="66" t="str">
        <f>IF(M$9="","",IF(EB.Anwendung&lt;&gt;"",IF(INDEX(January!Monat.ProjekteTotal.Bereich,M$8)&lt;=0,0,INDEX(January!Monat.ProjekteTotal.Bereich,M$8)),""))</f>
        <v/>
      </c>
      <c r="N11" s="66" t="str">
        <f>IF(N$9="","",IF(EB.Anwendung&lt;&gt;"",IF(INDEX(January!Monat.ProjekteTotal.Bereich,N$8)&lt;=0,0,INDEX(January!Monat.ProjekteTotal.Bereich,N$8)),""))</f>
        <v/>
      </c>
      <c r="O11" s="66" t="str">
        <f>IF(O$9="","",IF(EB.Anwendung&lt;&gt;"",IF(INDEX(January!Monat.ProjekteTotal.Bereich,O$8)&lt;=0,0,INDEX(January!Monat.ProjekteTotal.Bereich,O$8)),""))</f>
        <v/>
      </c>
      <c r="P11" s="66" t="str">
        <f>IF(P$9="","",IF(EB.Anwendung&lt;&gt;"",IF(INDEX(January!Monat.ProjekteTotal.Bereich,P$8)&lt;=0,0,INDEX(January!Monat.ProjekteTotal.Bereich,P$8)),""))</f>
        <v/>
      </c>
      <c r="Q11" s="119"/>
      <c r="R11" s="338">
        <f t="shared" ref="R11:R22" si="1">SUM(B11:P11)</f>
        <v>0</v>
      </c>
      <c r="S11" s="119"/>
      <c r="T11" s="358" t="str">
        <f ca="1">IF(Jahresabrechnung!AO15+Jahresabrechnung!S15+Jahresabrechnung!AI15=0,"",R11/(Jahresabrechnung!AO15+Jahresabrechnung!S15+Jahresabrechnung!AI15))</f>
        <v/>
      </c>
      <c r="U11" s="119"/>
    </row>
    <row r="12" spans="1:36" s="38" customFormat="1" ht="15" customHeight="1" x14ac:dyDescent="0.2">
      <c r="A12" s="337" t="str">
        <f>INDEX(EB.Monate.Bereich,2,0)</f>
        <v>February</v>
      </c>
      <c r="B12" s="66" t="str">
        <f>IF(B$9="","",IF(EB.Anwendung&lt;&gt;"",IF(INDEX(February!Monat.ProjekteTotal.Bereich,B$8)&lt;=0,0,INDEX(February!Monat.ProjekteTotal.Bereich,B$8)),""))</f>
        <v/>
      </c>
      <c r="C12" s="66" t="str">
        <f>IF(C$9="","",IF(EB.Anwendung&lt;&gt;"",IF(INDEX(February!Monat.ProjekteTotal.Bereich,C$8)&lt;=0,0,INDEX(February!Monat.ProjekteTotal.Bereich,C$8)),""))</f>
        <v/>
      </c>
      <c r="D12" s="66" t="str">
        <f>IF(D$9="","",IF(EB.Anwendung&lt;&gt;"",IF(INDEX(February!Monat.ProjekteTotal.Bereich,D$8)&lt;=0,0,INDEX(February!Monat.ProjekteTotal.Bereich,D$8)),""))</f>
        <v/>
      </c>
      <c r="E12" s="66" t="str">
        <f>IF(E$9="","",IF(EB.Anwendung&lt;&gt;"",IF(INDEX(February!Monat.ProjekteTotal.Bereich,E$8)&lt;=0,0,INDEX(February!Monat.ProjekteTotal.Bereich,E$8)),""))</f>
        <v/>
      </c>
      <c r="F12" s="66" t="str">
        <f>IF(F$9="","",IF(EB.Anwendung&lt;&gt;"",IF(INDEX(February!Monat.ProjekteTotal.Bereich,F$8)&lt;=0,0,INDEX(February!Monat.ProjekteTotal.Bereich,F$8)),""))</f>
        <v/>
      </c>
      <c r="G12" s="66" t="str">
        <f>IF(G$9="","",IF(EB.Anwendung&lt;&gt;"",IF(INDEX(February!Monat.ProjekteTotal.Bereich,G$8)&lt;=0,0,INDEX(February!Monat.ProjekteTotal.Bereich,G$8)),""))</f>
        <v/>
      </c>
      <c r="H12" s="66" t="str">
        <f>IF(H$9="","",IF(EB.Anwendung&lt;&gt;"",IF(INDEX(February!Monat.ProjekteTotal.Bereich,H$8)&lt;=0,0,INDEX(February!Monat.ProjekteTotal.Bereich,H$8)),""))</f>
        <v/>
      </c>
      <c r="I12" s="66" t="str">
        <f>IF(I$9="","",IF(EB.Anwendung&lt;&gt;"",IF(INDEX(February!Monat.ProjekteTotal.Bereich,I$8)&lt;=0,0,INDEX(February!Monat.ProjekteTotal.Bereich,I$8)),""))</f>
        <v/>
      </c>
      <c r="J12" s="66" t="str">
        <f>IF(J$9="","",IF(EB.Anwendung&lt;&gt;"",IF(INDEX(February!Monat.ProjekteTotal.Bereich,J$8)&lt;=0,0,INDEX(February!Monat.ProjekteTotal.Bereich,J$8)),""))</f>
        <v/>
      </c>
      <c r="K12" s="66" t="str">
        <f>IF(K$9="","",IF(EB.Anwendung&lt;&gt;"",IF(INDEX(February!Monat.ProjekteTotal.Bereich,K$8)&lt;=0,0,INDEX(February!Monat.ProjekteTotal.Bereich,K$8)),""))</f>
        <v/>
      </c>
      <c r="L12" s="66" t="str">
        <f>IF(L$9="","",IF(EB.Anwendung&lt;&gt;"",IF(INDEX(February!Monat.ProjekteTotal.Bereich,L$8)&lt;=0,0,INDEX(February!Monat.ProjekteTotal.Bereich,L$8)),""))</f>
        <v/>
      </c>
      <c r="M12" s="66" t="str">
        <f>IF(M$9="","",IF(EB.Anwendung&lt;&gt;"",IF(INDEX(February!Monat.ProjekteTotal.Bereich,M$8)&lt;=0,0,INDEX(February!Monat.ProjekteTotal.Bereich,M$8)),""))</f>
        <v/>
      </c>
      <c r="N12" s="66" t="str">
        <f>IF(N$9="","",IF(EB.Anwendung&lt;&gt;"",IF(INDEX(February!Monat.ProjekteTotal.Bereich,N$8)&lt;=0,0,INDEX(February!Monat.ProjekteTotal.Bereich,N$8)),""))</f>
        <v/>
      </c>
      <c r="O12" s="66" t="str">
        <f>IF(O$9="","",IF(EB.Anwendung&lt;&gt;"",IF(INDEX(February!Monat.ProjekteTotal.Bereich,O$8)&lt;=0,0,INDEX(February!Monat.ProjekteTotal.Bereich,O$8)),""))</f>
        <v/>
      </c>
      <c r="P12" s="66" t="str">
        <f>IF(P$9="","",IF(EB.Anwendung&lt;&gt;"",IF(INDEX(February!Monat.ProjekteTotal.Bereich,P$8)&lt;=0,0,INDEX(February!Monat.ProjekteTotal.Bereich,P$8)),""))</f>
        <v/>
      </c>
      <c r="Q12" s="119"/>
      <c r="R12" s="338">
        <f t="shared" si="1"/>
        <v>0</v>
      </c>
      <c r="S12" s="119"/>
      <c r="T12" s="358" t="str">
        <f ca="1">IF(Jahresabrechnung!AO16+Jahresabrechnung!S16+Jahresabrechnung!AI16=0,"",R12/(Jahresabrechnung!AO16+Jahresabrechnung!S16+Jahresabrechnung!AI16))</f>
        <v/>
      </c>
      <c r="U12" s="119"/>
    </row>
    <row r="13" spans="1:36" s="38" customFormat="1" ht="15" customHeight="1" x14ac:dyDescent="0.2">
      <c r="A13" s="337" t="str">
        <f>INDEX(EB.Monate.Bereich,3,0)</f>
        <v>March</v>
      </c>
      <c r="B13" s="66" t="str">
        <f>IF(B$9="","",IF(EB.Anwendung&lt;&gt;"",IF(INDEX(March!Monat.ProjekteTotal.Bereich,B$8)&lt;=0,0,INDEX(March!Monat.ProjekteTotal.Bereich,B$8)),""))</f>
        <v/>
      </c>
      <c r="C13" s="66" t="str">
        <f>IF(C$9="","",IF(EB.Anwendung&lt;&gt;"",IF(INDEX(March!Monat.ProjekteTotal.Bereich,C$8)&lt;=0,0,INDEX(March!Monat.ProjekteTotal.Bereich,C$8)),""))</f>
        <v/>
      </c>
      <c r="D13" s="66" t="str">
        <f>IF(D$9="","",IF(EB.Anwendung&lt;&gt;"",IF(INDEX(March!Monat.ProjekteTotal.Bereich,D$8)&lt;=0,0,INDEX(March!Monat.ProjekteTotal.Bereich,D$8)),""))</f>
        <v/>
      </c>
      <c r="E13" s="66" t="str">
        <f>IF(E$9="","",IF(EB.Anwendung&lt;&gt;"",IF(INDEX(March!Monat.ProjekteTotal.Bereich,E$8)&lt;=0,0,INDEX(March!Monat.ProjekteTotal.Bereich,E$8)),""))</f>
        <v/>
      </c>
      <c r="F13" s="66" t="str">
        <f>IF(F$9="","",IF(EB.Anwendung&lt;&gt;"",IF(INDEX(March!Monat.ProjekteTotal.Bereich,F$8)&lt;=0,0,INDEX(March!Monat.ProjekteTotal.Bereich,F$8)),""))</f>
        <v/>
      </c>
      <c r="G13" s="66" t="str">
        <f>IF(G$9="","",IF(EB.Anwendung&lt;&gt;"",IF(INDEX(March!Monat.ProjekteTotal.Bereich,G$8)&lt;=0,0,INDEX(March!Monat.ProjekteTotal.Bereich,G$8)),""))</f>
        <v/>
      </c>
      <c r="H13" s="66" t="str">
        <f>IF(H$9="","",IF(EB.Anwendung&lt;&gt;"",IF(INDEX(March!Monat.ProjekteTotal.Bereich,H$8)&lt;=0,0,INDEX(March!Monat.ProjekteTotal.Bereich,H$8)),""))</f>
        <v/>
      </c>
      <c r="I13" s="66" t="str">
        <f>IF(I$9="","",IF(EB.Anwendung&lt;&gt;"",IF(INDEX(March!Monat.ProjekteTotal.Bereich,I$8)&lt;=0,0,INDEX(March!Monat.ProjekteTotal.Bereich,I$8)),""))</f>
        <v/>
      </c>
      <c r="J13" s="66" t="str">
        <f>IF(J$9="","",IF(EB.Anwendung&lt;&gt;"",IF(INDEX(March!Monat.ProjekteTotal.Bereich,J$8)&lt;=0,0,INDEX(March!Monat.ProjekteTotal.Bereich,J$8)),""))</f>
        <v/>
      </c>
      <c r="K13" s="66" t="str">
        <f>IF(K$9="","",IF(EB.Anwendung&lt;&gt;"",IF(INDEX(March!Monat.ProjekteTotal.Bereich,K$8)&lt;=0,0,INDEX(March!Monat.ProjekteTotal.Bereich,K$8)),""))</f>
        <v/>
      </c>
      <c r="L13" s="66" t="str">
        <f>IF(L$9="","",IF(EB.Anwendung&lt;&gt;"",IF(INDEX(March!Monat.ProjekteTotal.Bereich,L$8)&lt;=0,0,INDEX(March!Monat.ProjekteTotal.Bereich,L$8)),""))</f>
        <v/>
      </c>
      <c r="M13" s="66" t="str">
        <f>IF(M$9="","",IF(EB.Anwendung&lt;&gt;"",IF(INDEX(March!Monat.ProjekteTotal.Bereich,M$8)&lt;=0,0,INDEX(March!Monat.ProjekteTotal.Bereich,M$8)),""))</f>
        <v/>
      </c>
      <c r="N13" s="66" t="str">
        <f>IF(N$9="","",IF(EB.Anwendung&lt;&gt;"",IF(INDEX(March!Monat.ProjekteTotal.Bereich,N$8)&lt;=0,0,INDEX(March!Monat.ProjekteTotal.Bereich,N$8)),""))</f>
        <v/>
      </c>
      <c r="O13" s="66" t="str">
        <f>IF(O$9="","",IF(EB.Anwendung&lt;&gt;"",IF(INDEX(March!Monat.ProjekteTotal.Bereich,O$8)&lt;=0,0,INDEX(March!Monat.ProjekteTotal.Bereich,O$8)),""))</f>
        <v/>
      </c>
      <c r="P13" s="66" t="str">
        <f>IF(P$9="","",IF(EB.Anwendung&lt;&gt;"",IF(INDEX(March!Monat.ProjekteTotal.Bereich,P$8)&lt;=0,0,INDEX(March!Monat.ProjekteTotal.Bereich,P$8)),""))</f>
        <v/>
      </c>
      <c r="Q13" s="119"/>
      <c r="R13" s="338">
        <f t="shared" si="1"/>
        <v>0</v>
      </c>
      <c r="S13" s="119"/>
      <c r="T13" s="358" t="str">
        <f ca="1">IF(Jahresabrechnung!AO17+Jahresabrechnung!S17+Jahresabrechnung!AI17=0,"",R13/(Jahresabrechnung!AO17+Jahresabrechnung!S17+Jahresabrechnung!AI17))</f>
        <v/>
      </c>
      <c r="U13" s="119"/>
    </row>
    <row r="14" spans="1:36" s="38" customFormat="1" ht="15" customHeight="1" x14ac:dyDescent="0.2">
      <c r="A14" s="337" t="str">
        <f>INDEX(EB.Monate.Bereich,4,0)</f>
        <v>April</v>
      </c>
      <c r="B14" s="66" t="str">
        <f>IF(B$9="","",IF(EB.Anwendung&lt;&gt;"",IF(INDEX(April!Monat.ProjekteTotal.Bereich,B$8)&lt;=0,0,INDEX(April!Monat.ProjekteTotal.Bereich,B$8)),""))</f>
        <v/>
      </c>
      <c r="C14" s="66" t="str">
        <f>IF(C$9="","",IF(EB.Anwendung&lt;&gt;"",IF(INDEX(April!Monat.ProjekteTotal.Bereich,C$8)&lt;=0,0,INDEX(April!Monat.ProjekteTotal.Bereich,C$8)),""))</f>
        <v/>
      </c>
      <c r="D14" s="66" t="str">
        <f>IF(D$9="","",IF(EB.Anwendung&lt;&gt;"",IF(INDEX(April!Monat.ProjekteTotal.Bereich,D$8)&lt;=0,0,INDEX(April!Monat.ProjekteTotal.Bereich,D$8)),""))</f>
        <v/>
      </c>
      <c r="E14" s="66" t="str">
        <f>IF(E$9="","",IF(EB.Anwendung&lt;&gt;"",IF(INDEX(April!Monat.ProjekteTotal.Bereich,E$8)&lt;=0,0,INDEX(April!Monat.ProjekteTotal.Bereich,E$8)),""))</f>
        <v/>
      </c>
      <c r="F14" s="66" t="str">
        <f>IF(F$9="","",IF(EB.Anwendung&lt;&gt;"",IF(INDEX(April!Monat.ProjekteTotal.Bereich,F$8)&lt;=0,0,INDEX(April!Monat.ProjekteTotal.Bereich,F$8)),""))</f>
        <v/>
      </c>
      <c r="G14" s="66" t="str">
        <f>IF(G$9="","",IF(EB.Anwendung&lt;&gt;"",IF(INDEX(April!Monat.ProjekteTotal.Bereich,G$8)&lt;=0,0,INDEX(April!Monat.ProjekteTotal.Bereich,G$8)),""))</f>
        <v/>
      </c>
      <c r="H14" s="66" t="str">
        <f>IF(H$9="","",IF(EB.Anwendung&lt;&gt;"",IF(INDEX(April!Monat.ProjekteTotal.Bereich,H$8)&lt;=0,0,INDEX(April!Monat.ProjekteTotal.Bereich,H$8)),""))</f>
        <v/>
      </c>
      <c r="I14" s="66" t="str">
        <f>IF(I$9="","",IF(EB.Anwendung&lt;&gt;"",IF(INDEX(April!Monat.ProjekteTotal.Bereich,I$8)&lt;=0,0,INDEX(April!Monat.ProjekteTotal.Bereich,I$8)),""))</f>
        <v/>
      </c>
      <c r="J14" s="66" t="str">
        <f>IF(J$9="","",IF(EB.Anwendung&lt;&gt;"",IF(INDEX(April!Monat.ProjekteTotal.Bereich,J$8)&lt;=0,0,INDEX(April!Monat.ProjekteTotal.Bereich,J$8)),""))</f>
        <v/>
      </c>
      <c r="K14" s="66" t="str">
        <f>IF(K$9="","",IF(EB.Anwendung&lt;&gt;"",IF(INDEX(April!Monat.ProjekteTotal.Bereich,K$8)&lt;=0,0,INDEX(April!Monat.ProjekteTotal.Bereich,K$8)),""))</f>
        <v/>
      </c>
      <c r="L14" s="66" t="str">
        <f>IF(L$9="","",IF(EB.Anwendung&lt;&gt;"",IF(INDEX(April!Monat.ProjekteTotal.Bereich,L$8)&lt;=0,0,INDEX(April!Monat.ProjekteTotal.Bereich,L$8)),""))</f>
        <v/>
      </c>
      <c r="M14" s="66" t="str">
        <f>IF(M$9="","",IF(EB.Anwendung&lt;&gt;"",IF(INDEX(April!Monat.ProjekteTotal.Bereich,M$8)&lt;=0,0,INDEX(April!Monat.ProjekteTotal.Bereich,M$8)),""))</f>
        <v/>
      </c>
      <c r="N14" s="66" t="str">
        <f>IF(N$9="","",IF(EB.Anwendung&lt;&gt;"",IF(INDEX(April!Monat.ProjekteTotal.Bereich,N$8)&lt;=0,0,INDEX(April!Monat.ProjekteTotal.Bereich,N$8)),""))</f>
        <v/>
      </c>
      <c r="O14" s="66" t="str">
        <f>IF(O$9="","",IF(EB.Anwendung&lt;&gt;"",IF(INDEX(April!Monat.ProjekteTotal.Bereich,O$8)&lt;=0,0,INDEX(April!Monat.ProjekteTotal.Bereich,O$8)),""))</f>
        <v/>
      </c>
      <c r="P14" s="66" t="str">
        <f>IF(P$9="","",IF(EB.Anwendung&lt;&gt;"",IF(INDEX(April!Monat.ProjekteTotal.Bereich,P$8)&lt;=0,0,INDEX(April!Monat.ProjekteTotal.Bereich,P$8)),""))</f>
        <v/>
      </c>
      <c r="Q14" s="119"/>
      <c r="R14" s="338">
        <f t="shared" si="1"/>
        <v>0</v>
      </c>
      <c r="S14" s="119"/>
      <c r="T14" s="358" t="str">
        <f ca="1">IF(Jahresabrechnung!AO18+Jahresabrechnung!S18+Jahresabrechnung!AI18=0,"",R14/(Jahresabrechnung!AO18+Jahresabrechnung!S18+Jahresabrechnung!AI18))</f>
        <v/>
      </c>
      <c r="U14" s="119"/>
    </row>
    <row r="15" spans="1:36" s="38" customFormat="1" ht="15" customHeight="1" x14ac:dyDescent="0.2">
      <c r="A15" s="337" t="str">
        <f>INDEX(EB.Monate.Bereich,5,0)</f>
        <v>May</v>
      </c>
      <c r="B15" s="66" t="str">
        <f>IF(B$9="","",IF(EB.Anwendung&lt;&gt;"",IF(INDEX(May!Monat.ProjekteTotal.Bereich,B$8)&lt;=0,0,INDEX(May!Monat.ProjekteTotal.Bereich,B$8)),""))</f>
        <v/>
      </c>
      <c r="C15" s="66" t="str">
        <f>IF(C$9="","",IF(EB.Anwendung&lt;&gt;"",IF(INDEX(May!Monat.ProjekteTotal.Bereich,C$8)&lt;=0,0,INDEX(May!Monat.ProjekteTotal.Bereich,C$8)),""))</f>
        <v/>
      </c>
      <c r="D15" s="66" t="str">
        <f>IF(D$9="","",IF(EB.Anwendung&lt;&gt;"",IF(INDEX(May!Monat.ProjekteTotal.Bereich,D$8)&lt;=0,0,INDEX(May!Monat.ProjekteTotal.Bereich,D$8)),""))</f>
        <v/>
      </c>
      <c r="E15" s="66" t="str">
        <f>IF(E$9="","",IF(EB.Anwendung&lt;&gt;"",IF(INDEX(May!Monat.ProjekteTotal.Bereich,E$8)&lt;=0,0,INDEX(May!Monat.ProjekteTotal.Bereich,E$8)),""))</f>
        <v/>
      </c>
      <c r="F15" s="66" t="str">
        <f>IF(F$9="","",IF(EB.Anwendung&lt;&gt;"",IF(INDEX(May!Monat.ProjekteTotal.Bereich,F$8)&lt;=0,0,INDEX(May!Monat.ProjekteTotal.Bereich,F$8)),""))</f>
        <v/>
      </c>
      <c r="G15" s="66" t="str">
        <f>IF(G$9="","",IF(EB.Anwendung&lt;&gt;"",IF(INDEX(May!Monat.ProjekteTotal.Bereich,G$8)&lt;=0,0,INDEX(May!Monat.ProjekteTotal.Bereich,G$8)),""))</f>
        <v/>
      </c>
      <c r="H15" s="66" t="str">
        <f>IF(H$9="","",IF(EB.Anwendung&lt;&gt;"",IF(INDEX(May!Monat.ProjekteTotal.Bereich,H$8)&lt;=0,0,INDEX(May!Monat.ProjekteTotal.Bereich,H$8)),""))</f>
        <v/>
      </c>
      <c r="I15" s="66" t="str">
        <f>IF(I$9="","",IF(EB.Anwendung&lt;&gt;"",IF(INDEX(May!Monat.ProjekteTotal.Bereich,I$8)&lt;=0,0,INDEX(May!Monat.ProjekteTotal.Bereich,I$8)),""))</f>
        <v/>
      </c>
      <c r="J15" s="66" t="str">
        <f>IF(J$9="","",IF(EB.Anwendung&lt;&gt;"",IF(INDEX(May!Monat.ProjekteTotal.Bereich,J$8)&lt;=0,0,INDEX(May!Monat.ProjekteTotal.Bereich,J$8)),""))</f>
        <v/>
      </c>
      <c r="K15" s="66" t="str">
        <f>IF(K$9="","",IF(EB.Anwendung&lt;&gt;"",IF(INDEX(May!Monat.ProjekteTotal.Bereich,K$8)&lt;=0,0,INDEX(May!Monat.ProjekteTotal.Bereich,K$8)),""))</f>
        <v/>
      </c>
      <c r="L15" s="66" t="str">
        <f>IF(L$9="","",IF(EB.Anwendung&lt;&gt;"",IF(INDEX(May!Monat.ProjekteTotal.Bereich,L$8)&lt;=0,0,INDEX(May!Monat.ProjekteTotal.Bereich,L$8)),""))</f>
        <v/>
      </c>
      <c r="M15" s="66" t="str">
        <f>IF(M$9="","",IF(EB.Anwendung&lt;&gt;"",IF(INDEX(May!Monat.ProjekteTotal.Bereich,M$8)&lt;=0,0,INDEX(May!Monat.ProjekteTotal.Bereich,M$8)),""))</f>
        <v/>
      </c>
      <c r="N15" s="66" t="str">
        <f>IF(N$9="","",IF(EB.Anwendung&lt;&gt;"",IF(INDEX(May!Monat.ProjekteTotal.Bereich,N$8)&lt;=0,0,INDEX(May!Monat.ProjekteTotal.Bereich,N$8)),""))</f>
        <v/>
      </c>
      <c r="O15" s="66" t="str">
        <f>IF(O$9="","",IF(EB.Anwendung&lt;&gt;"",IF(INDEX(May!Monat.ProjekteTotal.Bereich,O$8)&lt;=0,0,INDEX(May!Monat.ProjekteTotal.Bereich,O$8)),""))</f>
        <v/>
      </c>
      <c r="P15" s="66" t="str">
        <f>IF(P$9="","",IF(EB.Anwendung&lt;&gt;"",IF(INDEX(May!Monat.ProjekteTotal.Bereich,P$8)&lt;=0,0,INDEX(May!Monat.ProjekteTotal.Bereich,P$8)),""))</f>
        <v/>
      </c>
      <c r="Q15" s="119"/>
      <c r="R15" s="338">
        <f t="shared" si="1"/>
        <v>0</v>
      </c>
      <c r="S15" s="119"/>
      <c r="T15" s="358" t="str">
        <f ca="1">IF(Jahresabrechnung!AO19+Jahresabrechnung!S19+Jahresabrechnung!AI19=0,"",R15/(Jahresabrechnung!AO19+Jahresabrechnung!S19+Jahresabrechnung!AI19))</f>
        <v/>
      </c>
      <c r="U15" s="119"/>
    </row>
    <row r="16" spans="1:36" s="38" customFormat="1" ht="15" customHeight="1" x14ac:dyDescent="0.2">
      <c r="A16" s="337" t="str">
        <f>INDEX(EB.Monate.Bereich,6,0)</f>
        <v>June</v>
      </c>
      <c r="B16" s="66" t="str">
        <f>IF(B$9="","",IF(EB.Anwendung&lt;&gt;"",IF(INDEX(June!Monat.ProjekteTotal.Bereich,B$8)&lt;=0,0,INDEX(June!Monat.ProjekteTotal.Bereich,B$8)),""))</f>
        <v/>
      </c>
      <c r="C16" s="66" t="str">
        <f>IF(C$9="","",IF(EB.Anwendung&lt;&gt;"",IF(INDEX(June!Monat.ProjekteTotal.Bereich,C$8)&lt;=0,0,INDEX(June!Monat.ProjekteTotal.Bereich,C$8)),""))</f>
        <v/>
      </c>
      <c r="D16" s="66" t="str">
        <f>IF(D$9="","",IF(EB.Anwendung&lt;&gt;"",IF(INDEX(June!Monat.ProjekteTotal.Bereich,D$8)&lt;=0,0,INDEX(June!Monat.ProjekteTotal.Bereich,D$8)),""))</f>
        <v/>
      </c>
      <c r="E16" s="66" t="str">
        <f>IF(E$9="","",IF(EB.Anwendung&lt;&gt;"",IF(INDEX(June!Monat.ProjekteTotal.Bereich,E$8)&lt;=0,0,INDEX(June!Monat.ProjekteTotal.Bereich,E$8)),""))</f>
        <v/>
      </c>
      <c r="F16" s="66" t="str">
        <f>IF(F$9="","",IF(EB.Anwendung&lt;&gt;"",IF(INDEX(June!Monat.ProjekteTotal.Bereich,F$8)&lt;=0,0,INDEX(June!Monat.ProjekteTotal.Bereich,F$8)),""))</f>
        <v/>
      </c>
      <c r="G16" s="66" t="str">
        <f>IF(G$9="","",IF(EB.Anwendung&lt;&gt;"",IF(INDEX(June!Monat.ProjekteTotal.Bereich,G$8)&lt;=0,0,INDEX(June!Monat.ProjekteTotal.Bereich,G$8)),""))</f>
        <v/>
      </c>
      <c r="H16" s="66" t="str">
        <f>IF(H$9="","",IF(EB.Anwendung&lt;&gt;"",IF(INDEX(June!Monat.ProjekteTotal.Bereich,H$8)&lt;=0,0,INDEX(June!Monat.ProjekteTotal.Bereich,H$8)),""))</f>
        <v/>
      </c>
      <c r="I16" s="66" t="str">
        <f>IF(I$9="","",IF(EB.Anwendung&lt;&gt;"",IF(INDEX(June!Monat.ProjekteTotal.Bereich,I$8)&lt;=0,0,INDEX(June!Monat.ProjekteTotal.Bereich,I$8)),""))</f>
        <v/>
      </c>
      <c r="J16" s="66" t="str">
        <f>IF(J$9="","",IF(EB.Anwendung&lt;&gt;"",IF(INDEX(June!Monat.ProjekteTotal.Bereich,J$8)&lt;=0,0,INDEX(June!Monat.ProjekteTotal.Bereich,J$8)),""))</f>
        <v/>
      </c>
      <c r="K16" s="66" t="str">
        <f>IF(K$9="","",IF(EB.Anwendung&lt;&gt;"",IF(INDEX(June!Monat.ProjekteTotal.Bereich,K$8)&lt;=0,0,INDEX(June!Monat.ProjekteTotal.Bereich,K$8)),""))</f>
        <v/>
      </c>
      <c r="L16" s="66" t="str">
        <f>IF(L$9="","",IF(EB.Anwendung&lt;&gt;"",IF(INDEX(June!Monat.ProjekteTotal.Bereich,L$8)&lt;=0,0,INDEX(June!Monat.ProjekteTotal.Bereich,L$8)),""))</f>
        <v/>
      </c>
      <c r="M16" s="66" t="str">
        <f>IF(M$9="","",IF(EB.Anwendung&lt;&gt;"",IF(INDEX(June!Monat.ProjekteTotal.Bereich,M$8)&lt;=0,0,INDEX(June!Monat.ProjekteTotal.Bereich,M$8)),""))</f>
        <v/>
      </c>
      <c r="N16" s="66" t="str">
        <f>IF(N$9="","",IF(EB.Anwendung&lt;&gt;"",IF(INDEX(June!Monat.ProjekteTotal.Bereich,N$8)&lt;=0,0,INDEX(June!Monat.ProjekteTotal.Bereich,N$8)),""))</f>
        <v/>
      </c>
      <c r="O16" s="66" t="str">
        <f>IF(O$9="","",IF(EB.Anwendung&lt;&gt;"",IF(INDEX(June!Monat.ProjekteTotal.Bereich,O$8)&lt;=0,0,INDEX(June!Monat.ProjekteTotal.Bereich,O$8)),""))</f>
        <v/>
      </c>
      <c r="P16" s="66" t="str">
        <f>IF(P$9="","",IF(EB.Anwendung&lt;&gt;"",IF(INDEX(June!Monat.ProjekteTotal.Bereich,P$8)&lt;=0,0,INDEX(June!Monat.ProjekteTotal.Bereich,P$8)),""))</f>
        <v/>
      </c>
      <c r="Q16" s="119"/>
      <c r="R16" s="338">
        <f t="shared" si="1"/>
        <v>0</v>
      </c>
      <c r="S16" s="119"/>
      <c r="T16" s="358" t="str">
        <f ca="1">IF(Jahresabrechnung!AO20+Jahresabrechnung!S20+Jahresabrechnung!AI20=0,"",R16/(Jahresabrechnung!AO20+Jahresabrechnung!S20+Jahresabrechnung!AI20))</f>
        <v/>
      </c>
      <c r="U16" s="119"/>
    </row>
    <row r="17" spans="1:21" s="38" customFormat="1" ht="15" customHeight="1" x14ac:dyDescent="0.2">
      <c r="A17" s="337" t="str">
        <f>INDEX(EB.Monate.Bereich,7,0)</f>
        <v>July</v>
      </c>
      <c r="B17" s="66" t="str">
        <f>IF(B$9="","",IF(EB.Anwendung&lt;&gt;"",IF(INDEX(July!Monat.ProjekteTotal.Bereich,B$8)&lt;=0,0,INDEX(July!Monat.ProjekteTotal.Bereich,B$8)),""))</f>
        <v/>
      </c>
      <c r="C17" s="66" t="str">
        <f>IF(C$9="","",IF(EB.Anwendung&lt;&gt;"",IF(INDEX(July!Monat.ProjekteTotal.Bereich,C$8)&lt;=0,0,INDEX(July!Monat.ProjekteTotal.Bereich,C$8)),""))</f>
        <v/>
      </c>
      <c r="D17" s="66" t="str">
        <f>IF(D$9="","",IF(EB.Anwendung&lt;&gt;"",IF(INDEX(July!Monat.ProjekteTotal.Bereich,D$8)&lt;=0,0,INDEX(July!Monat.ProjekteTotal.Bereich,D$8)),""))</f>
        <v/>
      </c>
      <c r="E17" s="66" t="str">
        <f>IF(E$9="","",IF(EB.Anwendung&lt;&gt;"",IF(INDEX(July!Monat.ProjekteTotal.Bereich,E$8)&lt;=0,0,INDEX(July!Monat.ProjekteTotal.Bereich,E$8)),""))</f>
        <v/>
      </c>
      <c r="F17" s="66" t="str">
        <f>IF(F$9="","",IF(EB.Anwendung&lt;&gt;"",IF(INDEX(July!Monat.ProjekteTotal.Bereich,F$8)&lt;=0,0,INDEX(July!Monat.ProjekteTotal.Bereich,F$8)),""))</f>
        <v/>
      </c>
      <c r="G17" s="66" t="str">
        <f>IF(G$9="","",IF(EB.Anwendung&lt;&gt;"",IF(INDEX(July!Monat.ProjekteTotal.Bereich,G$8)&lt;=0,0,INDEX(July!Monat.ProjekteTotal.Bereich,G$8)),""))</f>
        <v/>
      </c>
      <c r="H17" s="66" t="str">
        <f>IF(H$9="","",IF(EB.Anwendung&lt;&gt;"",IF(INDEX(July!Monat.ProjekteTotal.Bereich,H$8)&lt;=0,0,INDEX(July!Monat.ProjekteTotal.Bereich,H$8)),""))</f>
        <v/>
      </c>
      <c r="I17" s="66" t="str">
        <f>IF(I$9="","",IF(EB.Anwendung&lt;&gt;"",IF(INDEX(July!Monat.ProjekteTotal.Bereich,I$8)&lt;=0,0,INDEX(July!Monat.ProjekteTotal.Bereich,I$8)),""))</f>
        <v/>
      </c>
      <c r="J17" s="66" t="str">
        <f>IF(J$9="","",IF(EB.Anwendung&lt;&gt;"",IF(INDEX(July!Monat.ProjekteTotal.Bereich,J$8)&lt;=0,0,INDEX(July!Monat.ProjekteTotal.Bereich,J$8)),""))</f>
        <v/>
      </c>
      <c r="K17" s="66" t="str">
        <f>IF(K$9="","",IF(EB.Anwendung&lt;&gt;"",IF(INDEX(July!Monat.ProjekteTotal.Bereich,K$8)&lt;=0,0,INDEX(July!Monat.ProjekteTotal.Bereich,K$8)),""))</f>
        <v/>
      </c>
      <c r="L17" s="66" t="str">
        <f>IF(L$9="","",IF(EB.Anwendung&lt;&gt;"",IF(INDEX(July!Monat.ProjekteTotal.Bereich,L$8)&lt;=0,0,INDEX(July!Monat.ProjekteTotal.Bereich,L$8)),""))</f>
        <v/>
      </c>
      <c r="M17" s="66" t="str">
        <f>IF(M$9="","",IF(EB.Anwendung&lt;&gt;"",IF(INDEX(July!Monat.ProjekteTotal.Bereich,M$8)&lt;=0,0,INDEX(July!Monat.ProjekteTotal.Bereich,M$8)),""))</f>
        <v/>
      </c>
      <c r="N17" s="66" t="str">
        <f>IF(N$9="","",IF(EB.Anwendung&lt;&gt;"",IF(INDEX(July!Monat.ProjekteTotal.Bereich,N$8)&lt;=0,0,INDEX(July!Monat.ProjekteTotal.Bereich,N$8)),""))</f>
        <v/>
      </c>
      <c r="O17" s="66" t="str">
        <f>IF(O$9="","",IF(EB.Anwendung&lt;&gt;"",IF(INDEX(July!Monat.ProjekteTotal.Bereich,O$8)&lt;=0,0,INDEX(July!Monat.ProjekteTotal.Bereich,O$8)),""))</f>
        <v/>
      </c>
      <c r="P17" s="66" t="str">
        <f>IF(P$9="","",IF(EB.Anwendung&lt;&gt;"",IF(INDEX(July!Monat.ProjekteTotal.Bereich,P$8)&lt;=0,0,INDEX(July!Monat.ProjekteTotal.Bereich,P$8)),""))</f>
        <v/>
      </c>
      <c r="Q17" s="119"/>
      <c r="R17" s="338">
        <f t="shared" si="1"/>
        <v>0</v>
      </c>
      <c r="S17" s="119"/>
      <c r="T17" s="358" t="str">
        <f ca="1">IF(Jahresabrechnung!AO21+Jahresabrechnung!S21+Jahresabrechnung!AI21=0,"",R17/(Jahresabrechnung!AO21+Jahresabrechnung!S21+Jahresabrechnung!AI21))</f>
        <v/>
      </c>
      <c r="U17" s="119"/>
    </row>
    <row r="18" spans="1:21" s="38" customFormat="1" ht="15" customHeight="1" x14ac:dyDescent="0.2">
      <c r="A18" s="337" t="str">
        <f>INDEX(EB.Monate.Bereich,8,0)</f>
        <v>August</v>
      </c>
      <c r="B18" s="66" t="str">
        <f>IF(B$9="","",IF(EB.Anwendung&lt;&gt;"",IF(INDEX(August!Monat.ProjekteTotal.Bereich,B$8)&lt;=0,0,INDEX(August!Monat.ProjekteTotal.Bereich,B$8)),""))</f>
        <v/>
      </c>
      <c r="C18" s="66" t="str">
        <f>IF(C$9="","",IF(EB.Anwendung&lt;&gt;"",IF(INDEX(August!Monat.ProjekteTotal.Bereich,C$8)&lt;=0,0,INDEX(August!Monat.ProjekteTotal.Bereich,C$8)),""))</f>
        <v/>
      </c>
      <c r="D18" s="66" t="str">
        <f>IF(D$9="","",IF(EB.Anwendung&lt;&gt;"",IF(INDEX(August!Monat.ProjekteTotal.Bereich,D$8)&lt;=0,0,INDEX(August!Monat.ProjekteTotal.Bereich,D$8)),""))</f>
        <v/>
      </c>
      <c r="E18" s="66" t="str">
        <f>IF(E$9="","",IF(EB.Anwendung&lt;&gt;"",IF(INDEX(August!Monat.ProjekteTotal.Bereich,E$8)&lt;=0,0,INDEX(August!Monat.ProjekteTotal.Bereich,E$8)),""))</f>
        <v/>
      </c>
      <c r="F18" s="66" t="str">
        <f>IF(F$9="","",IF(EB.Anwendung&lt;&gt;"",IF(INDEX(August!Monat.ProjekteTotal.Bereich,F$8)&lt;=0,0,INDEX(August!Monat.ProjekteTotal.Bereich,F$8)),""))</f>
        <v/>
      </c>
      <c r="G18" s="66" t="str">
        <f>IF(G$9="","",IF(EB.Anwendung&lt;&gt;"",IF(INDEX(August!Monat.ProjekteTotal.Bereich,G$8)&lt;=0,0,INDEX(August!Monat.ProjekteTotal.Bereich,G$8)),""))</f>
        <v/>
      </c>
      <c r="H18" s="66" t="str">
        <f>IF(H$9="","",IF(EB.Anwendung&lt;&gt;"",IF(INDEX(August!Monat.ProjekteTotal.Bereich,H$8)&lt;=0,0,INDEX(August!Monat.ProjekteTotal.Bereich,H$8)),""))</f>
        <v/>
      </c>
      <c r="I18" s="66" t="str">
        <f>IF(I$9="","",IF(EB.Anwendung&lt;&gt;"",IF(INDEX(August!Monat.ProjekteTotal.Bereich,I$8)&lt;=0,0,INDEX(August!Monat.ProjekteTotal.Bereich,I$8)),""))</f>
        <v/>
      </c>
      <c r="J18" s="66" t="str">
        <f>IF(J$9="","",IF(EB.Anwendung&lt;&gt;"",IF(INDEX(August!Monat.ProjekteTotal.Bereich,J$8)&lt;=0,0,INDEX(August!Monat.ProjekteTotal.Bereich,J$8)),""))</f>
        <v/>
      </c>
      <c r="K18" s="66" t="str">
        <f>IF(K$9="","",IF(EB.Anwendung&lt;&gt;"",IF(INDEX(August!Monat.ProjekteTotal.Bereich,K$8)&lt;=0,0,INDEX(August!Monat.ProjekteTotal.Bereich,K$8)),""))</f>
        <v/>
      </c>
      <c r="L18" s="66" t="str">
        <f>IF(L$9="","",IF(EB.Anwendung&lt;&gt;"",IF(INDEX(August!Monat.ProjekteTotal.Bereich,L$8)&lt;=0,0,INDEX(August!Monat.ProjekteTotal.Bereich,L$8)),""))</f>
        <v/>
      </c>
      <c r="M18" s="66" t="str">
        <f>IF(M$9="","",IF(EB.Anwendung&lt;&gt;"",IF(INDEX(August!Monat.ProjekteTotal.Bereich,M$8)&lt;=0,0,INDEX(August!Monat.ProjekteTotal.Bereich,M$8)),""))</f>
        <v/>
      </c>
      <c r="N18" s="66" t="str">
        <f>IF(N$9="","",IF(EB.Anwendung&lt;&gt;"",IF(INDEX(August!Monat.ProjekteTotal.Bereich,N$8)&lt;=0,0,INDEX(August!Monat.ProjekteTotal.Bereich,N$8)),""))</f>
        <v/>
      </c>
      <c r="O18" s="66" t="str">
        <f>IF(O$9="","",IF(EB.Anwendung&lt;&gt;"",IF(INDEX(August!Monat.ProjekteTotal.Bereich,O$8)&lt;=0,0,INDEX(August!Monat.ProjekteTotal.Bereich,O$8)),""))</f>
        <v/>
      </c>
      <c r="P18" s="66" t="str">
        <f>IF(P$9="","",IF(EB.Anwendung&lt;&gt;"",IF(INDEX(August!Monat.ProjekteTotal.Bereich,P$8)&lt;=0,0,INDEX(August!Monat.ProjekteTotal.Bereich,P$8)),""))</f>
        <v/>
      </c>
      <c r="Q18" s="119"/>
      <c r="R18" s="338">
        <f t="shared" si="1"/>
        <v>0</v>
      </c>
      <c r="S18" s="119"/>
      <c r="T18" s="358" t="str">
        <f ca="1">IF(Jahresabrechnung!AO22+Jahresabrechnung!S22+Jahresabrechnung!AI22=0,"",R18/(Jahresabrechnung!AO22+Jahresabrechnung!S22+Jahresabrechnung!AI22))</f>
        <v/>
      </c>
      <c r="U18" s="119"/>
    </row>
    <row r="19" spans="1:21" s="38" customFormat="1" ht="15" customHeight="1" x14ac:dyDescent="0.2">
      <c r="A19" s="337" t="str">
        <f>INDEX(EB.Monate.Bereich,9,0)</f>
        <v>September</v>
      </c>
      <c r="B19" s="66" t="str">
        <f>IF(B$9="","",IF(EB.Anwendung&lt;&gt;"",IF(INDEX(September!Monat.ProjekteTotal.Bereich,B$8)&lt;=0,0,INDEX(September!Monat.ProjekteTotal.Bereich,B$8)),""))</f>
        <v/>
      </c>
      <c r="C19" s="66" t="str">
        <f>IF(C$9="","",IF(EB.Anwendung&lt;&gt;"",IF(INDEX(September!Monat.ProjekteTotal.Bereich,C$8)&lt;=0,0,INDEX(September!Monat.ProjekteTotal.Bereich,C$8)),""))</f>
        <v/>
      </c>
      <c r="D19" s="66" t="str">
        <f>IF(D$9="","",IF(EB.Anwendung&lt;&gt;"",IF(INDEX(September!Monat.ProjekteTotal.Bereich,D$8)&lt;=0,0,INDEX(September!Monat.ProjekteTotal.Bereich,D$8)),""))</f>
        <v/>
      </c>
      <c r="E19" s="66" t="str">
        <f>IF(E$9="","",IF(EB.Anwendung&lt;&gt;"",IF(INDEX(September!Monat.ProjekteTotal.Bereich,E$8)&lt;=0,0,INDEX(September!Monat.ProjekteTotal.Bereich,E$8)),""))</f>
        <v/>
      </c>
      <c r="F19" s="66" t="str">
        <f>IF(F$9="","",IF(EB.Anwendung&lt;&gt;"",IF(INDEX(September!Monat.ProjekteTotal.Bereich,F$8)&lt;=0,0,INDEX(September!Monat.ProjekteTotal.Bereich,F$8)),""))</f>
        <v/>
      </c>
      <c r="G19" s="66" t="str">
        <f>IF(G$9="","",IF(EB.Anwendung&lt;&gt;"",IF(INDEX(September!Monat.ProjekteTotal.Bereich,G$8)&lt;=0,0,INDEX(September!Monat.ProjekteTotal.Bereich,G$8)),""))</f>
        <v/>
      </c>
      <c r="H19" s="66" t="str">
        <f>IF(H$9="","",IF(EB.Anwendung&lt;&gt;"",IF(INDEX(September!Monat.ProjekteTotal.Bereich,H$8)&lt;=0,0,INDEX(September!Monat.ProjekteTotal.Bereich,H$8)),""))</f>
        <v/>
      </c>
      <c r="I19" s="66" t="str">
        <f>IF(I$9="","",IF(EB.Anwendung&lt;&gt;"",IF(INDEX(September!Monat.ProjekteTotal.Bereich,I$8)&lt;=0,0,INDEX(September!Monat.ProjekteTotal.Bereich,I$8)),""))</f>
        <v/>
      </c>
      <c r="J19" s="66" t="str">
        <f>IF(J$9="","",IF(EB.Anwendung&lt;&gt;"",IF(INDEX(September!Monat.ProjekteTotal.Bereich,J$8)&lt;=0,0,INDEX(September!Monat.ProjekteTotal.Bereich,J$8)),""))</f>
        <v/>
      </c>
      <c r="K19" s="66" t="str">
        <f>IF(K$9="","",IF(EB.Anwendung&lt;&gt;"",IF(INDEX(September!Monat.ProjekteTotal.Bereich,K$8)&lt;=0,0,INDEX(September!Monat.ProjekteTotal.Bereich,K$8)),""))</f>
        <v/>
      </c>
      <c r="L19" s="66" t="str">
        <f>IF(L$9="","",IF(EB.Anwendung&lt;&gt;"",IF(INDEX(September!Monat.ProjekteTotal.Bereich,L$8)&lt;=0,0,INDEX(September!Monat.ProjekteTotal.Bereich,L$8)),""))</f>
        <v/>
      </c>
      <c r="M19" s="66" t="str">
        <f>IF(M$9="","",IF(EB.Anwendung&lt;&gt;"",IF(INDEX(September!Monat.ProjekteTotal.Bereich,M$8)&lt;=0,0,INDEX(September!Monat.ProjekteTotal.Bereich,M$8)),""))</f>
        <v/>
      </c>
      <c r="N19" s="66" t="str">
        <f>IF(N$9="","",IF(EB.Anwendung&lt;&gt;"",IF(INDEX(September!Monat.ProjekteTotal.Bereich,N$8)&lt;=0,0,INDEX(September!Monat.ProjekteTotal.Bereich,N$8)),""))</f>
        <v/>
      </c>
      <c r="O19" s="66" t="str">
        <f>IF(O$9="","",IF(EB.Anwendung&lt;&gt;"",IF(INDEX(September!Monat.ProjekteTotal.Bereich,O$8)&lt;=0,0,INDEX(September!Monat.ProjekteTotal.Bereich,O$8)),""))</f>
        <v/>
      </c>
      <c r="P19" s="66" t="str">
        <f>IF(P$9="","",IF(EB.Anwendung&lt;&gt;"",IF(INDEX(September!Monat.ProjekteTotal.Bereich,P$8)&lt;=0,0,INDEX(September!Monat.ProjekteTotal.Bereich,P$8)),""))</f>
        <v/>
      </c>
      <c r="Q19" s="119"/>
      <c r="R19" s="338">
        <f t="shared" si="1"/>
        <v>0</v>
      </c>
      <c r="S19" s="119"/>
      <c r="T19" s="358" t="str">
        <f ca="1">IF(Jahresabrechnung!AO23+Jahresabrechnung!S23+Jahresabrechnung!AI23=0,"",R19/(Jahresabrechnung!AO23+Jahresabrechnung!S23+Jahresabrechnung!AI23))</f>
        <v/>
      </c>
      <c r="U19" s="119"/>
    </row>
    <row r="20" spans="1:21" s="38" customFormat="1" ht="15" customHeight="1" x14ac:dyDescent="0.2">
      <c r="A20" s="337" t="str">
        <f>INDEX(EB.Monate.Bereich,10,0)</f>
        <v>October</v>
      </c>
      <c r="B20" s="66" t="str">
        <f>IF(B$9="","",IF(EB.Anwendung&lt;&gt;"",IF(INDEX(October!Monat.ProjekteTotal.Bereich,B$8)&lt;=0,0,INDEX(October!Monat.ProjekteTotal.Bereich,B$8)),""))</f>
        <v/>
      </c>
      <c r="C20" s="66" t="str">
        <f>IF(C$9="","",IF(EB.Anwendung&lt;&gt;"",IF(INDEX(October!Monat.ProjekteTotal.Bereich,C$8)&lt;=0,0,INDEX(October!Monat.ProjekteTotal.Bereich,C$8)),""))</f>
        <v/>
      </c>
      <c r="D20" s="66" t="str">
        <f>IF(D$9="","",IF(EB.Anwendung&lt;&gt;"",IF(INDEX(October!Monat.ProjekteTotal.Bereich,D$8)&lt;=0,0,INDEX(October!Monat.ProjekteTotal.Bereich,D$8)),""))</f>
        <v/>
      </c>
      <c r="E20" s="66" t="str">
        <f>IF(E$9="","",IF(EB.Anwendung&lt;&gt;"",IF(INDEX(October!Monat.ProjekteTotal.Bereich,E$8)&lt;=0,0,INDEX(October!Monat.ProjekteTotal.Bereich,E$8)),""))</f>
        <v/>
      </c>
      <c r="F20" s="66" t="str">
        <f>IF(F$9="","",IF(EB.Anwendung&lt;&gt;"",IF(INDEX(October!Monat.ProjekteTotal.Bereich,F$8)&lt;=0,0,INDEX(October!Monat.ProjekteTotal.Bereich,F$8)),""))</f>
        <v/>
      </c>
      <c r="G20" s="66" t="str">
        <f>IF(G$9="","",IF(EB.Anwendung&lt;&gt;"",IF(INDEX(October!Monat.ProjekteTotal.Bereich,G$8)&lt;=0,0,INDEX(October!Monat.ProjekteTotal.Bereich,G$8)),""))</f>
        <v/>
      </c>
      <c r="H20" s="66" t="str">
        <f>IF(H$9="","",IF(EB.Anwendung&lt;&gt;"",IF(INDEX(October!Monat.ProjekteTotal.Bereich,H$8)&lt;=0,0,INDEX(October!Monat.ProjekteTotal.Bereich,H$8)),""))</f>
        <v/>
      </c>
      <c r="I20" s="66" t="str">
        <f>IF(I$9="","",IF(EB.Anwendung&lt;&gt;"",IF(INDEX(October!Monat.ProjekteTotal.Bereich,I$8)&lt;=0,0,INDEX(October!Monat.ProjekteTotal.Bereich,I$8)),""))</f>
        <v/>
      </c>
      <c r="J20" s="66" t="str">
        <f>IF(J$9="","",IF(EB.Anwendung&lt;&gt;"",IF(INDEX(October!Monat.ProjekteTotal.Bereich,J$8)&lt;=0,0,INDEX(October!Monat.ProjekteTotal.Bereich,J$8)),""))</f>
        <v/>
      </c>
      <c r="K20" s="66" t="str">
        <f>IF(K$9="","",IF(EB.Anwendung&lt;&gt;"",IF(INDEX(October!Monat.ProjekteTotal.Bereich,K$8)&lt;=0,0,INDEX(October!Monat.ProjekteTotal.Bereich,K$8)),""))</f>
        <v/>
      </c>
      <c r="L20" s="66" t="str">
        <f>IF(L$9="","",IF(EB.Anwendung&lt;&gt;"",IF(INDEX(October!Monat.ProjekteTotal.Bereich,L$8)&lt;=0,0,INDEX(October!Monat.ProjekteTotal.Bereich,L$8)),""))</f>
        <v/>
      </c>
      <c r="M20" s="66" t="str">
        <f>IF(M$9="","",IF(EB.Anwendung&lt;&gt;"",IF(INDEX(October!Monat.ProjekteTotal.Bereich,M$8)&lt;=0,0,INDEX(October!Monat.ProjekteTotal.Bereich,M$8)),""))</f>
        <v/>
      </c>
      <c r="N20" s="66" t="str">
        <f>IF(N$9="","",IF(EB.Anwendung&lt;&gt;"",IF(INDEX(October!Monat.ProjekteTotal.Bereich,N$8)&lt;=0,0,INDEX(October!Monat.ProjekteTotal.Bereich,N$8)),""))</f>
        <v/>
      </c>
      <c r="O20" s="66" t="str">
        <f>IF(O$9="","",IF(EB.Anwendung&lt;&gt;"",IF(INDEX(October!Monat.ProjekteTotal.Bereich,O$8)&lt;=0,0,INDEX(October!Monat.ProjekteTotal.Bereich,O$8)),""))</f>
        <v/>
      </c>
      <c r="P20" s="66" t="str">
        <f>IF(P$9="","",IF(EB.Anwendung&lt;&gt;"",IF(INDEX(October!Monat.ProjekteTotal.Bereich,P$8)&lt;=0,0,INDEX(October!Monat.ProjekteTotal.Bereich,P$8)),""))</f>
        <v/>
      </c>
      <c r="Q20" s="119"/>
      <c r="R20" s="338">
        <f t="shared" si="1"/>
        <v>0</v>
      </c>
      <c r="S20" s="119"/>
      <c r="T20" s="358" t="str">
        <f ca="1">IF(Jahresabrechnung!AO24+Jahresabrechnung!S24+Jahresabrechnung!AI24=0,"",R20/(Jahresabrechnung!AO24+Jahresabrechnung!S24+Jahresabrechnung!AI24))</f>
        <v/>
      </c>
      <c r="U20" s="119"/>
    </row>
    <row r="21" spans="1:21" s="38" customFormat="1" ht="15" customHeight="1" x14ac:dyDescent="0.2">
      <c r="A21" s="337" t="str">
        <f>INDEX(EB.Monate.Bereich,11,0)</f>
        <v>November</v>
      </c>
      <c r="B21" s="66" t="str">
        <f>IF(B$9="","",IF(EB.Anwendung&lt;&gt;"",IF(INDEX(November!Monat.ProjekteTotal.Bereich,B$8)&lt;=0,0,INDEX(November!Monat.ProjekteTotal.Bereich,B$8)),""))</f>
        <v/>
      </c>
      <c r="C21" s="66" t="str">
        <f>IF(C$9="","",IF(EB.Anwendung&lt;&gt;"",IF(INDEX(November!Monat.ProjekteTotal.Bereich,C$8)&lt;=0,0,INDEX(November!Monat.ProjekteTotal.Bereich,C$8)),""))</f>
        <v/>
      </c>
      <c r="D21" s="66" t="str">
        <f>IF(D$9="","",IF(EB.Anwendung&lt;&gt;"",IF(INDEX(November!Monat.ProjekteTotal.Bereich,D$8)&lt;=0,0,INDEX(November!Monat.ProjekteTotal.Bereich,D$8)),""))</f>
        <v/>
      </c>
      <c r="E21" s="66" t="str">
        <f>IF(E$9="","",IF(EB.Anwendung&lt;&gt;"",IF(INDEX(November!Monat.ProjekteTotal.Bereich,E$8)&lt;=0,0,INDEX(November!Monat.ProjekteTotal.Bereich,E$8)),""))</f>
        <v/>
      </c>
      <c r="F21" s="66" t="str">
        <f>IF(F$9="","",IF(EB.Anwendung&lt;&gt;"",IF(INDEX(November!Monat.ProjekteTotal.Bereich,F$8)&lt;=0,0,INDEX(November!Monat.ProjekteTotal.Bereich,F$8)),""))</f>
        <v/>
      </c>
      <c r="G21" s="66" t="str">
        <f>IF(G$9="","",IF(EB.Anwendung&lt;&gt;"",IF(INDEX(November!Monat.ProjekteTotal.Bereich,G$8)&lt;=0,0,INDEX(November!Monat.ProjekteTotal.Bereich,G$8)),""))</f>
        <v/>
      </c>
      <c r="H21" s="66" t="str">
        <f>IF(H$9="","",IF(EB.Anwendung&lt;&gt;"",IF(INDEX(November!Monat.ProjekteTotal.Bereich,H$8)&lt;=0,0,INDEX(November!Monat.ProjekteTotal.Bereich,H$8)),""))</f>
        <v/>
      </c>
      <c r="I21" s="66" t="str">
        <f>IF(I$9="","",IF(EB.Anwendung&lt;&gt;"",IF(INDEX(November!Monat.ProjekteTotal.Bereich,I$8)&lt;=0,0,INDEX(November!Monat.ProjekteTotal.Bereich,I$8)),""))</f>
        <v/>
      </c>
      <c r="J21" s="66" t="str">
        <f>IF(J$9="","",IF(EB.Anwendung&lt;&gt;"",IF(INDEX(November!Monat.ProjekteTotal.Bereich,J$8)&lt;=0,0,INDEX(November!Monat.ProjekteTotal.Bereich,J$8)),""))</f>
        <v/>
      </c>
      <c r="K21" s="66" t="str">
        <f>IF(K$9="","",IF(EB.Anwendung&lt;&gt;"",IF(INDEX(November!Monat.ProjekteTotal.Bereich,K$8)&lt;=0,0,INDEX(November!Monat.ProjekteTotal.Bereich,K$8)),""))</f>
        <v/>
      </c>
      <c r="L21" s="66" t="str">
        <f>IF(L$9="","",IF(EB.Anwendung&lt;&gt;"",IF(INDEX(November!Monat.ProjekteTotal.Bereich,L$8)&lt;=0,0,INDEX(November!Monat.ProjekteTotal.Bereich,L$8)),""))</f>
        <v/>
      </c>
      <c r="M21" s="66" t="str">
        <f>IF(M$9="","",IF(EB.Anwendung&lt;&gt;"",IF(INDEX(November!Monat.ProjekteTotal.Bereich,M$8)&lt;=0,0,INDEX(November!Monat.ProjekteTotal.Bereich,M$8)),""))</f>
        <v/>
      </c>
      <c r="N21" s="66" t="str">
        <f>IF(N$9="","",IF(EB.Anwendung&lt;&gt;"",IF(INDEX(November!Monat.ProjekteTotal.Bereich,N$8)&lt;=0,0,INDEX(November!Monat.ProjekteTotal.Bereich,N$8)),""))</f>
        <v/>
      </c>
      <c r="O21" s="66" t="str">
        <f>IF(O$9="","",IF(EB.Anwendung&lt;&gt;"",IF(INDEX(November!Monat.ProjekteTotal.Bereich,O$8)&lt;=0,0,INDEX(November!Monat.ProjekteTotal.Bereich,O$8)),""))</f>
        <v/>
      </c>
      <c r="P21" s="66" t="str">
        <f>IF(P$9="","",IF(EB.Anwendung&lt;&gt;"",IF(INDEX(November!Monat.ProjekteTotal.Bereich,P$8)&lt;=0,0,INDEX(November!Monat.ProjekteTotal.Bereich,P$8)),""))</f>
        <v/>
      </c>
      <c r="Q21" s="119"/>
      <c r="R21" s="338">
        <f t="shared" si="1"/>
        <v>0</v>
      </c>
      <c r="S21" s="119"/>
      <c r="T21" s="358" t="str">
        <f ca="1">IF(Jahresabrechnung!AO25+Jahresabrechnung!S25+Jahresabrechnung!AI25=0,"",R21/(Jahresabrechnung!AO25+Jahresabrechnung!S25+Jahresabrechnung!AI25))</f>
        <v/>
      </c>
      <c r="U21" s="119"/>
    </row>
    <row r="22" spans="1:21" s="38" customFormat="1" ht="15" customHeight="1" x14ac:dyDescent="0.2">
      <c r="A22" s="337" t="str">
        <f>INDEX(EB.Monate.Bereich,12,0)</f>
        <v>December</v>
      </c>
      <c r="B22" s="66" t="str">
        <f>IF(B$9="","",IF(EB.Anwendung&lt;&gt;"",IF(INDEX(December!Monat.ProjekteTotal.Bereich,B$8)&lt;=0,0,INDEX(December!Monat.ProjekteTotal.Bereich,B$8)),""))</f>
        <v/>
      </c>
      <c r="C22" s="66" t="str">
        <f>IF(C$9="","",IF(EB.Anwendung&lt;&gt;"",IF(INDEX(December!Monat.ProjekteTotal.Bereich,C$8)&lt;=0,0,INDEX(December!Monat.ProjekteTotal.Bereich,C$8)),""))</f>
        <v/>
      </c>
      <c r="D22" s="66" t="str">
        <f>IF(D$9="","",IF(EB.Anwendung&lt;&gt;"",IF(INDEX(December!Monat.ProjekteTotal.Bereich,D$8)&lt;=0,0,INDEX(December!Monat.ProjekteTotal.Bereich,D$8)),""))</f>
        <v/>
      </c>
      <c r="E22" s="66" t="str">
        <f>IF(E$9="","",IF(EB.Anwendung&lt;&gt;"",IF(INDEX(December!Monat.ProjekteTotal.Bereich,E$8)&lt;=0,0,INDEX(December!Monat.ProjekteTotal.Bereich,E$8)),""))</f>
        <v/>
      </c>
      <c r="F22" s="66" t="str">
        <f>IF(F$9="","",IF(EB.Anwendung&lt;&gt;"",IF(INDEX(December!Monat.ProjekteTotal.Bereich,F$8)&lt;=0,0,INDEX(December!Monat.ProjekteTotal.Bereich,F$8)),""))</f>
        <v/>
      </c>
      <c r="G22" s="66" t="str">
        <f>IF(G$9="","",IF(EB.Anwendung&lt;&gt;"",IF(INDEX(December!Monat.ProjekteTotal.Bereich,G$8)&lt;=0,0,INDEX(December!Monat.ProjekteTotal.Bereich,G$8)),""))</f>
        <v/>
      </c>
      <c r="H22" s="66" t="str">
        <f>IF(H$9="","",IF(EB.Anwendung&lt;&gt;"",IF(INDEX(December!Monat.ProjekteTotal.Bereich,H$8)&lt;=0,0,INDEX(December!Monat.ProjekteTotal.Bereich,H$8)),""))</f>
        <v/>
      </c>
      <c r="I22" s="66" t="str">
        <f>IF(I$9="","",IF(EB.Anwendung&lt;&gt;"",IF(INDEX(December!Monat.ProjekteTotal.Bereich,I$8)&lt;=0,0,INDEX(December!Monat.ProjekteTotal.Bereich,I$8)),""))</f>
        <v/>
      </c>
      <c r="J22" s="66" t="str">
        <f>IF(J$9="","",IF(EB.Anwendung&lt;&gt;"",IF(INDEX(December!Monat.ProjekteTotal.Bereich,J$8)&lt;=0,0,INDEX(December!Monat.ProjekteTotal.Bereich,J$8)),""))</f>
        <v/>
      </c>
      <c r="K22" s="66" t="str">
        <f>IF(K$9="","",IF(EB.Anwendung&lt;&gt;"",IF(INDEX(December!Monat.ProjekteTotal.Bereich,K$8)&lt;=0,0,INDEX(December!Monat.ProjekteTotal.Bereich,K$8)),""))</f>
        <v/>
      </c>
      <c r="L22" s="66" t="str">
        <f>IF(L$9="","",IF(EB.Anwendung&lt;&gt;"",IF(INDEX(December!Monat.ProjekteTotal.Bereich,L$8)&lt;=0,0,INDEX(December!Monat.ProjekteTotal.Bereich,L$8)),""))</f>
        <v/>
      </c>
      <c r="M22" s="66" t="str">
        <f>IF(M$9="","",IF(EB.Anwendung&lt;&gt;"",IF(INDEX(December!Monat.ProjekteTotal.Bereich,M$8)&lt;=0,0,INDEX(December!Monat.ProjekteTotal.Bereich,M$8)),""))</f>
        <v/>
      </c>
      <c r="N22" s="66" t="str">
        <f>IF(N$9="","",IF(EB.Anwendung&lt;&gt;"",IF(INDEX(December!Monat.ProjekteTotal.Bereich,N$8)&lt;=0,0,INDEX(December!Monat.ProjekteTotal.Bereich,N$8)),""))</f>
        <v/>
      </c>
      <c r="O22" s="66" t="str">
        <f>IF(O$9="","",IF(EB.Anwendung&lt;&gt;"",IF(INDEX(December!Monat.ProjekteTotal.Bereich,O$8)&lt;=0,0,INDEX(December!Monat.ProjekteTotal.Bereich,O$8)),""))</f>
        <v/>
      </c>
      <c r="P22" s="66" t="str">
        <f>IF(P$9="","",IF(EB.Anwendung&lt;&gt;"",IF(INDEX(December!Monat.ProjekteTotal.Bereich,P$8)&lt;=0,0,INDEX(December!Monat.ProjekteTotal.Bereich,P$8)),""))</f>
        <v/>
      </c>
      <c r="Q22" s="119"/>
      <c r="R22" s="338">
        <f t="shared" si="1"/>
        <v>0</v>
      </c>
      <c r="S22" s="119"/>
      <c r="T22" s="358" t="str">
        <f ca="1">IF(Jahresabrechnung!AO26+Jahresabrechnung!S26+Jahresabrechnung!AI26=0,"",R22/(Jahresabrechnung!AO26+Jahresabrechnung!S26+Jahresabrechnung!AI26))</f>
        <v/>
      </c>
      <c r="U22" s="119"/>
    </row>
    <row r="23" spans="1:21" s="38" customFormat="1" ht="11.25" customHeight="1" x14ac:dyDescent="0.2">
      <c r="A23" s="119"/>
      <c r="B23" s="119"/>
      <c r="C23" s="119"/>
      <c r="D23" s="119"/>
      <c r="E23" s="119"/>
      <c r="F23" s="119"/>
      <c r="G23" s="119"/>
      <c r="H23" s="119"/>
      <c r="I23" s="119"/>
      <c r="J23" s="119"/>
      <c r="K23" s="119"/>
      <c r="L23" s="119"/>
      <c r="M23" s="119"/>
      <c r="N23" s="119"/>
      <c r="O23" s="119"/>
      <c r="P23" s="119"/>
      <c r="Q23" s="119"/>
      <c r="R23" s="191"/>
      <c r="S23" s="119"/>
      <c r="T23" s="359"/>
      <c r="U23" s="119"/>
    </row>
    <row r="24" spans="1:21" s="38" customFormat="1" ht="15" customHeight="1" x14ac:dyDescent="0.2">
      <c r="A24" s="331" t="str">
        <f ca="1">INDEX(T.ProjektartName.Bereich,1)</f>
        <v>Drittmittel / Grants</v>
      </c>
      <c r="B24" s="66" t="str">
        <f t="shared" ref="B24:P28" ca="1" si="2">IFERROR(IF(B$9="","",IF(OFFSET(EB.Projektart.Knoten,B$8,0,1,1)=ROW(B24)-ROW($A$24)+1,SUM(B$11:B$22),0)),"")</f>
        <v/>
      </c>
      <c r="C24" s="66" t="str">
        <f t="shared" ca="1" si="2"/>
        <v/>
      </c>
      <c r="D24" s="66" t="str">
        <f t="shared" ca="1" si="2"/>
        <v/>
      </c>
      <c r="E24" s="66" t="str">
        <f t="shared" ca="1" si="2"/>
        <v/>
      </c>
      <c r="F24" s="66" t="str">
        <f t="shared" ca="1" si="2"/>
        <v/>
      </c>
      <c r="G24" s="66" t="str">
        <f t="shared" ca="1" si="2"/>
        <v/>
      </c>
      <c r="H24" s="66" t="str">
        <f t="shared" ca="1" si="2"/>
        <v/>
      </c>
      <c r="I24" s="66" t="str">
        <f t="shared" ca="1" si="2"/>
        <v/>
      </c>
      <c r="J24" s="66" t="str">
        <f t="shared" ca="1" si="2"/>
        <v/>
      </c>
      <c r="K24" s="66" t="str">
        <f t="shared" ca="1" si="2"/>
        <v/>
      </c>
      <c r="L24" s="66" t="str">
        <f t="shared" ca="1" si="2"/>
        <v/>
      </c>
      <c r="M24" s="66" t="str">
        <f t="shared" ca="1" si="2"/>
        <v/>
      </c>
      <c r="N24" s="66" t="str">
        <f t="shared" ca="1" si="2"/>
        <v/>
      </c>
      <c r="O24" s="66" t="str">
        <f t="shared" ca="1" si="2"/>
        <v/>
      </c>
      <c r="P24" s="66" t="str">
        <f t="shared" ca="1" si="2"/>
        <v/>
      </c>
      <c r="Q24" s="119"/>
      <c r="R24" s="338">
        <f t="shared" ref="R24:R32" ca="1" si="3">SUM(B24:P24)</f>
        <v>0</v>
      </c>
      <c r="S24" s="119"/>
      <c r="T24" s="358" t="str">
        <f ca="1">IF(Jahr.ein_aus.Total+Jahr.ein_aus_Pikett.Total+Jahr.WB.Total=0,"",R24/(Jahr.ein_aus.Total+Jahr.ein_aus_Pikett.Total+Jahr.WB.Total))</f>
        <v/>
      </c>
      <c r="U24" s="119"/>
    </row>
    <row r="25" spans="1:21" s="38" customFormat="1" ht="15" customHeight="1" x14ac:dyDescent="0.2">
      <c r="A25" s="331" t="str">
        <f ca="1">INDEX(T.ProjektartName.Bereich,2)</f>
        <v>Nationalfonds / National Foundation</v>
      </c>
      <c r="B25" s="66" t="str">
        <f t="shared" ca="1" si="2"/>
        <v/>
      </c>
      <c r="C25" s="66" t="str">
        <f t="shared" ca="1" si="2"/>
        <v/>
      </c>
      <c r="D25" s="66" t="str">
        <f t="shared" ca="1" si="2"/>
        <v/>
      </c>
      <c r="E25" s="66" t="str">
        <f t="shared" ca="1" si="2"/>
        <v/>
      </c>
      <c r="F25" s="66" t="str">
        <f t="shared" ca="1" si="2"/>
        <v/>
      </c>
      <c r="G25" s="66" t="str">
        <f t="shared" ca="1" si="2"/>
        <v/>
      </c>
      <c r="H25" s="66" t="str">
        <f t="shared" ca="1" si="2"/>
        <v/>
      </c>
      <c r="I25" s="66" t="str">
        <f t="shared" ca="1" si="2"/>
        <v/>
      </c>
      <c r="J25" s="66" t="str">
        <f t="shared" ca="1" si="2"/>
        <v/>
      </c>
      <c r="K25" s="66" t="str">
        <f t="shared" ca="1" si="2"/>
        <v/>
      </c>
      <c r="L25" s="66" t="str">
        <f t="shared" ca="1" si="2"/>
        <v/>
      </c>
      <c r="M25" s="66" t="str">
        <f t="shared" ca="1" si="2"/>
        <v/>
      </c>
      <c r="N25" s="66" t="str">
        <f t="shared" ca="1" si="2"/>
        <v/>
      </c>
      <c r="O25" s="66" t="str">
        <f t="shared" ca="1" si="2"/>
        <v/>
      </c>
      <c r="P25" s="66" t="str">
        <f t="shared" ca="1" si="2"/>
        <v/>
      </c>
      <c r="Q25" s="119"/>
      <c r="R25" s="338">
        <f t="shared" ca="1" si="3"/>
        <v>0</v>
      </c>
      <c r="S25" s="119"/>
      <c r="T25" s="358" t="str">
        <f ca="1">IF(Jahr.ein_aus.Total+Jahr.ein_aus_Pikett.Total+Jahr.WB.Total=0,"",R25/(Jahr.ein_aus.Total+Jahr.ein_aus_Pikett.Total+Jahr.WB.Total))</f>
        <v/>
      </c>
      <c r="U25" s="119"/>
    </row>
    <row r="26" spans="1:21" s="38" customFormat="1" ht="15" customHeight="1" x14ac:dyDescent="0.2">
      <c r="A26" s="331" t="str">
        <f ca="1">INDEX(T.ProjektartName.Bereich,3)</f>
        <v>E-/Q Projekte / E-/Q Projects</v>
      </c>
      <c r="B26" s="66" t="str">
        <f t="shared" ca="1" si="2"/>
        <v/>
      </c>
      <c r="C26" s="66" t="str">
        <f t="shared" ca="1" si="2"/>
        <v/>
      </c>
      <c r="D26" s="66" t="str">
        <f t="shared" ca="1" si="2"/>
        <v/>
      </c>
      <c r="E26" s="66" t="str">
        <f t="shared" ca="1" si="2"/>
        <v/>
      </c>
      <c r="F26" s="66" t="str">
        <f t="shared" ca="1" si="2"/>
        <v/>
      </c>
      <c r="G26" s="66" t="str">
        <f t="shared" ca="1" si="2"/>
        <v/>
      </c>
      <c r="H26" s="66" t="str">
        <f t="shared" ca="1" si="2"/>
        <v/>
      </c>
      <c r="I26" s="66" t="str">
        <f t="shared" ca="1" si="2"/>
        <v/>
      </c>
      <c r="J26" s="66" t="str">
        <f t="shared" ca="1" si="2"/>
        <v/>
      </c>
      <c r="K26" s="66" t="str">
        <f t="shared" ca="1" si="2"/>
        <v/>
      </c>
      <c r="L26" s="66" t="str">
        <f t="shared" ca="1" si="2"/>
        <v/>
      </c>
      <c r="M26" s="66" t="str">
        <f t="shared" ca="1" si="2"/>
        <v/>
      </c>
      <c r="N26" s="66" t="str">
        <f t="shared" ca="1" si="2"/>
        <v/>
      </c>
      <c r="O26" s="66" t="str">
        <f t="shared" ca="1" si="2"/>
        <v/>
      </c>
      <c r="P26" s="66" t="str">
        <f t="shared" ca="1" si="2"/>
        <v/>
      </c>
      <c r="Q26" s="119"/>
      <c r="R26" s="338">
        <f t="shared" ca="1" si="3"/>
        <v>0</v>
      </c>
      <c r="S26" s="119"/>
      <c r="T26" s="358" t="str">
        <f ca="1">IF(Jahr.ein_aus.Total+Jahr.ein_aus_Pikett.Total+Jahr.WB.Total=0,"",R26/(Jahr.ein_aus.Total+Jahr.ein_aus_Pikett.Total+Jahr.WB.Total))</f>
        <v/>
      </c>
      <c r="U26" s="119"/>
    </row>
    <row r="27" spans="1:21" s="38" customFormat="1" ht="15" customHeight="1" x14ac:dyDescent="0.2">
      <c r="A27" s="331" t="str">
        <f ca="1">INDEX(T.ProjektartName.Bereich,4)</f>
        <v>Uni / University</v>
      </c>
      <c r="B27" s="66" t="str">
        <f t="shared" ca="1" si="2"/>
        <v/>
      </c>
      <c r="C27" s="66" t="str">
        <f t="shared" ca="1" si="2"/>
        <v/>
      </c>
      <c r="D27" s="66" t="str">
        <f t="shared" ca="1" si="2"/>
        <v/>
      </c>
      <c r="E27" s="66" t="str">
        <f t="shared" ca="1" si="2"/>
        <v/>
      </c>
      <c r="F27" s="66" t="str">
        <f t="shared" ca="1" si="2"/>
        <v/>
      </c>
      <c r="G27" s="66" t="str">
        <f t="shared" ca="1" si="2"/>
        <v/>
      </c>
      <c r="H27" s="66" t="str">
        <f t="shared" ca="1" si="2"/>
        <v/>
      </c>
      <c r="I27" s="66" t="str">
        <f t="shared" ca="1" si="2"/>
        <v/>
      </c>
      <c r="J27" s="66" t="str">
        <f t="shared" ca="1" si="2"/>
        <v/>
      </c>
      <c r="K27" s="66" t="str">
        <f t="shared" ca="1" si="2"/>
        <v/>
      </c>
      <c r="L27" s="66" t="str">
        <f t="shared" ca="1" si="2"/>
        <v/>
      </c>
      <c r="M27" s="66" t="str">
        <f t="shared" ca="1" si="2"/>
        <v/>
      </c>
      <c r="N27" s="66" t="str">
        <f t="shared" ca="1" si="2"/>
        <v/>
      </c>
      <c r="O27" s="66" t="str">
        <f t="shared" ca="1" si="2"/>
        <v/>
      </c>
      <c r="P27" s="66" t="str">
        <f t="shared" ca="1" si="2"/>
        <v/>
      </c>
      <c r="Q27" s="119"/>
      <c r="R27" s="338">
        <f t="shared" ca="1" si="3"/>
        <v>0</v>
      </c>
      <c r="S27" s="119"/>
      <c r="T27" s="358" t="str">
        <f ca="1">IF(Jahr.ein_aus.Total+Jahr.ein_aus_Pikett.Total+Jahr.WB.Total=0,"",R27/(Jahr.ein_aus.Total+Jahr.ein_aus_Pikett.Total+Jahr.WB.Total))</f>
        <v/>
      </c>
      <c r="U27" s="119"/>
    </row>
    <row r="28" spans="1:21" s="38" customFormat="1" ht="15" customHeight="1" x14ac:dyDescent="0.2">
      <c r="A28" s="331" t="str">
        <f ca="1">INDEX(T.ProjektartName.Bereich,5)</f>
        <v>Andere / Other</v>
      </c>
      <c r="B28" s="66" t="str">
        <f t="shared" ca="1" si="2"/>
        <v/>
      </c>
      <c r="C28" s="66" t="str">
        <f t="shared" ca="1" si="2"/>
        <v/>
      </c>
      <c r="D28" s="66" t="str">
        <f t="shared" ca="1" si="2"/>
        <v/>
      </c>
      <c r="E28" s="66" t="str">
        <f t="shared" ca="1" si="2"/>
        <v/>
      </c>
      <c r="F28" s="66" t="str">
        <f t="shared" ca="1" si="2"/>
        <v/>
      </c>
      <c r="G28" s="66" t="str">
        <f t="shared" ca="1" si="2"/>
        <v/>
      </c>
      <c r="H28" s="66" t="str">
        <f t="shared" ca="1" si="2"/>
        <v/>
      </c>
      <c r="I28" s="66" t="str">
        <f t="shared" ca="1" si="2"/>
        <v/>
      </c>
      <c r="J28" s="66" t="str">
        <f t="shared" ca="1" si="2"/>
        <v/>
      </c>
      <c r="K28" s="66" t="str">
        <f t="shared" ca="1" si="2"/>
        <v/>
      </c>
      <c r="L28" s="66" t="str">
        <f t="shared" ca="1" si="2"/>
        <v/>
      </c>
      <c r="M28" s="66" t="str">
        <f t="shared" ca="1" si="2"/>
        <v/>
      </c>
      <c r="N28" s="66" t="str">
        <f t="shared" ca="1" si="2"/>
        <v/>
      </c>
      <c r="O28" s="66" t="str">
        <f t="shared" ca="1" si="2"/>
        <v/>
      </c>
      <c r="P28" s="66" t="str">
        <f t="shared" ca="1" si="2"/>
        <v/>
      </c>
      <c r="Q28" s="119"/>
      <c r="R28" s="338">
        <f t="shared" ca="1" si="3"/>
        <v>0</v>
      </c>
      <c r="S28" s="119"/>
      <c r="T28" s="358" t="str">
        <f ca="1">IF(Jahr.ein_aus.Total+Jahr.ein_aus_Pikett.Total+Jahr.WB.Total=0,"",R28/(Jahr.ein_aus.Total+Jahr.ein_aus_Pikett.Total+Jahr.WB.Total))</f>
        <v/>
      </c>
      <c r="U28" s="119"/>
    </row>
    <row r="29" spans="1:21" s="38" customFormat="1" ht="11.25" customHeight="1" x14ac:dyDescent="0.2">
      <c r="A29" s="119"/>
      <c r="B29" s="119"/>
      <c r="C29" s="119"/>
      <c r="D29" s="119"/>
      <c r="E29" s="119"/>
      <c r="F29" s="119"/>
      <c r="G29" s="119"/>
      <c r="H29" s="119"/>
      <c r="I29" s="119"/>
      <c r="J29" s="119"/>
      <c r="K29" s="119"/>
      <c r="L29" s="119"/>
      <c r="M29" s="119"/>
      <c r="N29" s="119"/>
      <c r="O29" s="119"/>
      <c r="P29" s="119"/>
      <c r="Q29" s="119"/>
      <c r="R29" s="191"/>
      <c r="S29" s="119"/>
      <c r="T29" s="359"/>
      <c r="U29" s="119"/>
    </row>
    <row r="30" spans="1:21" s="38" customFormat="1" ht="15" customHeight="1" x14ac:dyDescent="0.2">
      <c r="A30" s="331" t="str">
        <f ca="1">INDEX(T.ProjektartName.Bereich,6)</f>
        <v>Arbeitstätigkeiten / Working Activities</v>
      </c>
      <c r="B30" s="66" t="str">
        <f t="shared" ref="B30:P31" ca="1" si="4">IFERROR(IF(B$9="","",IF(OFFSET(EB.Projektart.Knoten,B$8,0,1,1)=ROW(B30)-ROW($A$24),SUM(B$11:B$22),0)),"")</f>
        <v/>
      </c>
      <c r="C30" s="66" t="str">
        <f t="shared" ca="1" si="4"/>
        <v/>
      </c>
      <c r="D30" s="66" t="str">
        <f t="shared" ca="1" si="4"/>
        <v/>
      </c>
      <c r="E30" s="66" t="str">
        <f t="shared" ca="1" si="4"/>
        <v/>
      </c>
      <c r="F30" s="66" t="str">
        <f t="shared" ca="1" si="4"/>
        <v/>
      </c>
      <c r="G30" s="66" t="str">
        <f t="shared" ca="1" si="4"/>
        <v/>
      </c>
      <c r="H30" s="66" t="str">
        <f t="shared" ca="1" si="4"/>
        <v/>
      </c>
      <c r="I30" s="66" t="str">
        <f t="shared" ca="1" si="4"/>
        <v/>
      </c>
      <c r="J30" s="66" t="str">
        <f t="shared" ca="1" si="4"/>
        <v/>
      </c>
      <c r="K30" s="66" t="str">
        <f t="shared" ca="1" si="4"/>
        <v/>
      </c>
      <c r="L30" s="66" t="str">
        <f t="shared" ca="1" si="4"/>
        <v/>
      </c>
      <c r="M30" s="66" t="str">
        <f t="shared" ca="1" si="4"/>
        <v/>
      </c>
      <c r="N30" s="66" t="str">
        <f t="shared" ca="1" si="4"/>
        <v/>
      </c>
      <c r="O30" s="66" t="str">
        <f t="shared" ca="1" si="4"/>
        <v/>
      </c>
      <c r="P30" s="66" t="str">
        <f t="shared" ca="1" si="4"/>
        <v/>
      </c>
      <c r="Q30" s="119"/>
      <c r="R30" s="338">
        <f t="shared" ca="1" si="3"/>
        <v>0</v>
      </c>
      <c r="S30" s="119"/>
      <c r="T30" s="358" t="str">
        <f ca="1">IF(Jahr.ein_aus.Total+Jahr.ein_aus_Pikett.Total+Jahr.WB.Total=0,"",R30/(Jahr.ein_aus.Total+Jahr.ein_aus_Pikett.Total+Jahr.WB.Total))</f>
        <v/>
      </c>
      <c r="U30" s="119"/>
    </row>
    <row r="31" spans="1:21" s="38" customFormat="1" ht="15" customHeight="1" x14ac:dyDescent="0.2">
      <c r="A31" s="331" t="str">
        <f ca="1">INDEX(T.ProjektartName.Bereich,7)</f>
        <v>Entlastungszeit / Relief Time</v>
      </c>
      <c r="B31" s="66" t="str">
        <f t="shared" ca="1" si="4"/>
        <v/>
      </c>
      <c r="C31" s="66" t="str">
        <f t="shared" ca="1" si="4"/>
        <v/>
      </c>
      <c r="D31" s="66" t="str">
        <f t="shared" ca="1" si="4"/>
        <v/>
      </c>
      <c r="E31" s="66" t="str">
        <f t="shared" ca="1" si="4"/>
        <v/>
      </c>
      <c r="F31" s="66" t="str">
        <f t="shared" ca="1" si="4"/>
        <v/>
      </c>
      <c r="G31" s="66" t="str">
        <f t="shared" ca="1" si="4"/>
        <v/>
      </c>
      <c r="H31" s="66" t="str">
        <f t="shared" ca="1" si="4"/>
        <v/>
      </c>
      <c r="I31" s="66" t="str">
        <f t="shared" ca="1" si="4"/>
        <v/>
      </c>
      <c r="J31" s="66" t="str">
        <f t="shared" ca="1" si="4"/>
        <v/>
      </c>
      <c r="K31" s="66" t="str">
        <f t="shared" ca="1" si="4"/>
        <v/>
      </c>
      <c r="L31" s="66" t="str">
        <f t="shared" ca="1" si="4"/>
        <v/>
      </c>
      <c r="M31" s="66" t="str">
        <f t="shared" ca="1" si="4"/>
        <v/>
      </c>
      <c r="N31" s="66" t="str">
        <f t="shared" ca="1" si="4"/>
        <v/>
      </c>
      <c r="O31" s="66" t="str">
        <f t="shared" ca="1" si="4"/>
        <v/>
      </c>
      <c r="P31" s="66" t="str">
        <f t="shared" ca="1" si="4"/>
        <v/>
      </c>
      <c r="Q31" s="119"/>
      <c r="R31" s="338">
        <f t="shared" ref="R31" ca="1" si="5">SUM(B31:P31)</f>
        <v>0</v>
      </c>
      <c r="S31" s="119"/>
      <c r="T31" s="358" t="str">
        <f ca="1">IF(Jahr.ein_aus.Total+Jahr.ein_aus_Pikett.Total+Jahr.WB.Total=0,"",R31/(Jahr.ein_aus.Total+Jahr.ein_aus_Pikett.Total+Jahr.WB.Total))</f>
        <v/>
      </c>
      <c r="U31" s="119"/>
    </row>
    <row r="32" spans="1:21" s="38" customFormat="1" ht="15" customHeight="1" x14ac:dyDescent="0.2">
      <c r="A32" s="331" t="str">
        <f ca="1">INDEX(T.ProjektartName.Bereich,8)</f>
        <v>nicht definiert / non-defined</v>
      </c>
      <c r="B32" s="66" t="str">
        <f>IF(B$9="","",(SUM(B$11:B$22)-SUM(B$24:B$31)))</f>
        <v/>
      </c>
      <c r="C32" s="66" t="str">
        <f t="shared" ref="C32:P32" si="6">IF(C$9="","",(SUM(C$11:C$22)-SUM(C$24:C$31)))</f>
        <v/>
      </c>
      <c r="D32" s="66" t="str">
        <f t="shared" si="6"/>
        <v/>
      </c>
      <c r="E32" s="66" t="str">
        <f t="shared" si="6"/>
        <v/>
      </c>
      <c r="F32" s="66" t="str">
        <f t="shared" si="6"/>
        <v/>
      </c>
      <c r="G32" s="66" t="str">
        <f t="shared" si="6"/>
        <v/>
      </c>
      <c r="H32" s="66" t="str">
        <f t="shared" si="6"/>
        <v/>
      </c>
      <c r="I32" s="66" t="str">
        <f t="shared" si="6"/>
        <v/>
      </c>
      <c r="J32" s="66" t="str">
        <f t="shared" si="6"/>
        <v/>
      </c>
      <c r="K32" s="66" t="str">
        <f t="shared" si="6"/>
        <v/>
      </c>
      <c r="L32" s="66" t="str">
        <f t="shared" si="6"/>
        <v/>
      </c>
      <c r="M32" s="66" t="str">
        <f t="shared" si="6"/>
        <v/>
      </c>
      <c r="N32" s="66" t="str">
        <f t="shared" si="6"/>
        <v/>
      </c>
      <c r="O32" s="66" t="str">
        <f t="shared" si="6"/>
        <v/>
      </c>
      <c r="P32" s="66" t="str">
        <f t="shared" si="6"/>
        <v/>
      </c>
      <c r="Q32" s="119"/>
      <c r="R32" s="338">
        <f t="shared" si="3"/>
        <v>0</v>
      </c>
      <c r="S32" s="119"/>
      <c r="T32" s="358" t="str">
        <f ca="1">IF(Jahr.ein_aus.Total+Jahr.ein_aus_Pikett.Total+Jahr.WB.Total=0,"",R32/(Jahr.ein_aus.Total+Jahr.ein_aus_Pikett.Total+Jahr.WB.Total))</f>
        <v/>
      </c>
      <c r="U32" s="119"/>
    </row>
    <row r="33" spans="1:21" s="38" customFormat="1" ht="11.25" customHeight="1" x14ac:dyDescent="0.2">
      <c r="A33" s="119"/>
      <c r="B33" s="119"/>
      <c r="C33" s="119"/>
      <c r="D33" s="119"/>
      <c r="E33" s="119"/>
      <c r="F33" s="119"/>
      <c r="G33" s="119"/>
      <c r="H33" s="119"/>
      <c r="I33" s="119"/>
      <c r="J33" s="119"/>
      <c r="K33" s="119"/>
      <c r="L33" s="119"/>
      <c r="M33" s="119"/>
      <c r="N33" s="119"/>
      <c r="O33" s="119"/>
      <c r="P33" s="119"/>
      <c r="Q33" s="119"/>
      <c r="R33" s="191"/>
      <c r="S33" s="119"/>
      <c r="T33" s="359"/>
      <c r="U33" s="119"/>
    </row>
    <row r="34" spans="1:21" s="38" customFormat="1" ht="15" customHeight="1" x14ac:dyDescent="0.2">
      <c r="A34" s="215" t="s">
        <v>98</v>
      </c>
      <c r="B34" s="66" t="str">
        <f t="shared" ref="B34:P34" si="7">IF(B$9="","",SUM(B11:B22))</f>
        <v/>
      </c>
      <c r="C34" s="66" t="str">
        <f t="shared" si="7"/>
        <v/>
      </c>
      <c r="D34" s="66" t="str">
        <f t="shared" si="7"/>
        <v/>
      </c>
      <c r="E34" s="66" t="str">
        <f t="shared" si="7"/>
        <v/>
      </c>
      <c r="F34" s="66" t="str">
        <f t="shared" si="7"/>
        <v/>
      </c>
      <c r="G34" s="66" t="str">
        <f t="shared" si="7"/>
        <v/>
      </c>
      <c r="H34" s="66" t="str">
        <f t="shared" si="7"/>
        <v/>
      </c>
      <c r="I34" s="66" t="str">
        <f t="shared" si="7"/>
        <v/>
      </c>
      <c r="J34" s="66" t="str">
        <f t="shared" si="7"/>
        <v/>
      </c>
      <c r="K34" s="66" t="str">
        <f t="shared" si="7"/>
        <v/>
      </c>
      <c r="L34" s="66" t="str">
        <f t="shared" si="7"/>
        <v/>
      </c>
      <c r="M34" s="66" t="str">
        <f t="shared" si="7"/>
        <v/>
      </c>
      <c r="N34" s="66" t="str">
        <f t="shared" si="7"/>
        <v/>
      </c>
      <c r="O34" s="66" t="str">
        <f t="shared" si="7"/>
        <v/>
      </c>
      <c r="P34" s="66" t="str">
        <f t="shared" si="7"/>
        <v/>
      </c>
      <c r="Q34" s="119"/>
      <c r="R34" s="338">
        <f>SUM(B34:P34)</f>
        <v>0</v>
      </c>
      <c r="S34" s="119"/>
      <c r="T34" s="358" t="str">
        <f ca="1">IF(Jahr.ein_aus.Total+Jahr.ein_aus_Pikett.Total+Jahr.WB.Total=0,"",R34/(Jahr.ein_aus.Total+Jahr.ein_aus_Pikett.Total+Jahr.WB.Total))</f>
        <v/>
      </c>
      <c r="U34" s="119"/>
    </row>
    <row r="35" spans="1:21" s="38" customFormat="1" ht="15" customHeight="1" outlineLevel="1" x14ac:dyDescent="0.2">
      <c r="A35" s="215" t="s">
        <v>233</v>
      </c>
      <c r="B35" s="83" t="str">
        <f t="shared" ref="B35:P35" ca="1" si="8">IF(OR(B$9="",Jahr.ein_aus.Total+Jahr.ein_aus_Pikett.Total+Jahr.WB.Total=0),"",B34/(Jahr.ein_aus.Total+Jahr.ein_aus_Pikett.Total+Jahr.WB.Total))</f>
        <v/>
      </c>
      <c r="C35" s="83" t="str">
        <f t="shared" ca="1" si="8"/>
        <v/>
      </c>
      <c r="D35" s="83" t="str">
        <f t="shared" ca="1" si="8"/>
        <v/>
      </c>
      <c r="E35" s="83" t="str">
        <f t="shared" ca="1" si="8"/>
        <v/>
      </c>
      <c r="F35" s="83" t="str">
        <f t="shared" ca="1" si="8"/>
        <v/>
      </c>
      <c r="G35" s="83" t="str">
        <f t="shared" ca="1" si="8"/>
        <v/>
      </c>
      <c r="H35" s="83" t="str">
        <f t="shared" ca="1" si="8"/>
        <v/>
      </c>
      <c r="I35" s="83" t="str">
        <f t="shared" ca="1" si="8"/>
        <v/>
      </c>
      <c r="J35" s="83" t="str">
        <f t="shared" ca="1" si="8"/>
        <v/>
      </c>
      <c r="K35" s="83" t="str">
        <f t="shared" ca="1" si="8"/>
        <v/>
      </c>
      <c r="L35" s="83" t="str">
        <f t="shared" ca="1" si="8"/>
        <v/>
      </c>
      <c r="M35" s="83" t="str">
        <f t="shared" ca="1" si="8"/>
        <v/>
      </c>
      <c r="N35" s="83" t="str">
        <f t="shared" ca="1" si="8"/>
        <v/>
      </c>
      <c r="O35" s="83" t="str">
        <f t="shared" ca="1" si="8"/>
        <v/>
      </c>
      <c r="P35" s="83" t="str">
        <f t="shared" ca="1" si="8"/>
        <v/>
      </c>
      <c r="Q35" s="359"/>
      <c r="R35" s="358" t="str">
        <f ca="1">IF(OR(R$9="",Jahr.ein_aus.Total+Jahr.ein_aus_Pikett.Total+Jahr.WB.Total=0),"",R34/(Jahr.ein_aus.Total+Jahr.ein_aus_Pikett.Total+Jahr.WB.Total))</f>
        <v/>
      </c>
      <c r="S35" s="119"/>
      <c r="T35" s="123"/>
      <c r="U35" s="119"/>
    </row>
    <row r="36" spans="1:21" ht="11.25" customHeight="1" x14ac:dyDescent="0.2">
      <c r="A36" s="360"/>
      <c r="B36" s="123"/>
      <c r="C36" s="123"/>
      <c r="D36" s="123"/>
      <c r="E36" s="123"/>
      <c r="F36" s="123"/>
      <c r="G36" s="123"/>
      <c r="H36" s="123"/>
      <c r="I36" s="123"/>
      <c r="J36" s="123"/>
      <c r="K36" s="123"/>
      <c r="L36" s="123"/>
      <c r="M36" s="123"/>
      <c r="N36" s="123"/>
      <c r="O36" s="123"/>
      <c r="P36" s="119"/>
      <c r="Q36" s="119"/>
      <c r="R36" s="119"/>
      <c r="S36" s="119"/>
      <c r="T36" s="119"/>
      <c r="U36" s="119"/>
    </row>
    <row r="37" spans="1:21" ht="57" customHeight="1" x14ac:dyDescent="0.2">
      <c r="A37" s="303" t="s">
        <v>228</v>
      </c>
      <c r="B37" s="503"/>
      <c r="C37" s="503"/>
      <c r="D37" s="503"/>
      <c r="E37" s="503"/>
      <c r="F37" s="503"/>
      <c r="G37" s="503"/>
      <c r="H37" s="503"/>
      <c r="I37" s="123"/>
      <c r="J37" s="123"/>
      <c r="K37" s="502" t="s">
        <v>234</v>
      </c>
      <c r="L37" s="502"/>
      <c r="M37" s="502"/>
      <c r="N37" s="502"/>
      <c r="O37" s="503"/>
      <c r="P37" s="503"/>
      <c r="Q37" s="503"/>
      <c r="R37" s="503"/>
      <c r="S37" s="503"/>
      <c r="T37" s="503"/>
      <c r="U37" s="119"/>
    </row>
    <row r="38" spans="1:21" ht="11.25" customHeight="1" x14ac:dyDescent="0.2">
      <c r="A38" s="123"/>
      <c r="B38" s="123"/>
      <c r="C38" s="123"/>
      <c r="D38" s="123"/>
      <c r="E38" s="123"/>
      <c r="F38" s="123"/>
      <c r="G38" s="123"/>
      <c r="H38" s="123"/>
      <c r="I38" s="123"/>
      <c r="J38" s="123"/>
      <c r="K38" s="123"/>
      <c r="L38" s="123"/>
      <c r="M38" s="123"/>
      <c r="N38" s="123"/>
      <c r="O38" s="123"/>
      <c r="P38" s="119"/>
      <c r="Q38" s="119"/>
      <c r="R38" s="119"/>
      <c r="S38" s="119"/>
      <c r="T38" s="119"/>
      <c r="U38" s="119"/>
    </row>
    <row r="39" spans="1:21" ht="11.25" customHeight="1" x14ac:dyDescent="0.2">
      <c r="A39" s="361"/>
      <c r="B39" s="123"/>
      <c r="C39" s="123"/>
      <c r="D39" s="123"/>
      <c r="E39" s="123"/>
      <c r="F39" s="123"/>
      <c r="G39" s="123"/>
      <c r="H39" s="123"/>
      <c r="I39" s="123"/>
      <c r="J39" s="123"/>
      <c r="K39" s="123"/>
      <c r="L39" s="123"/>
      <c r="M39" s="123"/>
      <c r="N39" s="123"/>
      <c r="O39" s="123"/>
      <c r="P39" s="123"/>
      <c r="Q39" s="123"/>
      <c r="R39" s="123"/>
      <c r="S39" s="123"/>
      <c r="T39" s="123"/>
      <c r="U39" s="123"/>
    </row>
  </sheetData>
  <sheetProtection sheet="1" objects="1" scenarios="1"/>
  <dataConsolidate/>
  <mergeCells count="18">
    <mergeCell ref="E5:K5"/>
    <mergeCell ref="E6:K6"/>
    <mergeCell ref="E1:K1"/>
    <mergeCell ref="O2:P2"/>
    <mergeCell ref="K37:N37"/>
    <mergeCell ref="O37:T37"/>
    <mergeCell ref="E7:K7"/>
    <mergeCell ref="B37:H37"/>
    <mergeCell ref="M2:N2"/>
    <mergeCell ref="B2:D2"/>
    <mergeCell ref="B3:D3"/>
    <mergeCell ref="B4:D4"/>
    <mergeCell ref="B5:D5"/>
    <mergeCell ref="B6:D6"/>
    <mergeCell ref="B7:D7"/>
    <mergeCell ref="E2:K2"/>
    <mergeCell ref="E3:K3"/>
    <mergeCell ref="E4:K4"/>
  </mergeCells>
  <phoneticPr fontId="5" type="noConversion"/>
  <conditionalFormatting sqref="B9:P22 B24:P28 B34:P35 B30:P32">
    <cfRule type="expression" dxfId="9" priority="18">
      <formula>B$9=""</formula>
    </cfRule>
  </conditionalFormatting>
  <conditionalFormatting sqref="A11:A22 A24:A28 A34:A35 A30:A32">
    <cfRule type="expression" dxfId="8" priority="16">
      <formula>B$9=""</formula>
    </cfRule>
  </conditionalFormatting>
  <conditionalFormatting sqref="C9:P9 C11:P22 C24:P28 C34:P35 C30:P32">
    <cfRule type="expression" dxfId="7" priority="17">
      <formula>AND(B$9&lt;&gt;"",C$9="")</formula>
    </cfRule>
  </conditionalFormatting>
  <conditionalFormatting sqref="R30 T30">
    <cfRule type="expression" dxfId="6" priority="12">
      <formula>IF(AND(Jahr.ein_aus.Total+Jahr.ein_aus_Pikett.Total+Jahr.WB.Total&lt;&gt;0,ISERROR(MATCH(6,EB.Projektart.Bereich,0))=FALSE),ABS(ROUND($R30,9)-(Jahr.ein_aus.Total+Jahr.ein_aus_Pikett.Total+Jahr.WB.Total))&gt;=1/24/60)</formula>
    </cfRule>
  </conditionalFormatting>
  <printOptions horizontalCentered="1"/>
  <pageMargins left="0.19685039370078741" right="0.19685039370078741" top="0.39370078740157483" bottom="0.39370078740157483" header="0.31496062992125984" footer="0.19685039370078741"/>
  <pageSetup paperSize="9" scale="70" orientation="landscape" blackAndWhite="1" horizontalDpi="4294967292" verticalDpi="4294967292" r:id="rId1"/>
  <headerFooter alignWithMargins="0">
    <oddFooter>&amp;L&amp;"Arial,Standard"&amp;11&amp;A&amp;C&amp;"Arial,Standard"&amp;11&amp;D&amp;R&amp;"Arial,Standard"&amp;11&amp;P / &amp;N</oddFooter>
  </headerFooter>
  <legacyDrawing r:id="rId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pageSetUpPr fitToPage="1"/>
  </sheetPr>
  <dimension ref="A1:AR60"/>
  <sheetViews>
    <sheetView showGridLines="0" zoomScale="85" zoomScaleNormal="85" zoomScalePageLayoutView="85" workbookViewId="0">
      <selection activeCell="E1" sqref="E1:K1"/>
    </sheetView>
  </sheetViews>
  <sheetFormatPr baseColWidth="10" defaultColWidth="10.75" defaultRowHeight="14.25" outlineLevelCol="1" x14ac:dyDescent="0.2"/>
  <cols>
    <col min="1" max="1" width="28.75" style="3" customWidth="1"/>
    <col min="2" max="2" width="13.875" style="3" customWidth="1"/>
    <col min="3" max="3" width="7.125" style="3" customWidth="1"/>
    <col min="4" max="4" width="13.875" style="3" customWidth="1"/>
    <col min="5" max="5" width="7.125" style="3" customWidth="1"/>
    <col min="6" max="6" width="13.875" style="3" customWidth="1"/>
    <col min="7" max="7" width="7.125" style="3" customWidth="1"/>
    <col min="8" max="8" width="13.875" style="3" customWidth="1"/>
    <col min="9" max="9" width="7.125" style="3" customWidth="1"/>
    <col min="10" max="10" width="13.875" style="3" customWidth="1"/>
    <col min="11" max="11" width="7.125" style="3" customWidth="1"/>
    <col min="12" max="12" width="13.875" style="3" customWidth="1"/>
    <col min="13" max="13" width="7.125" style="3" customWidth="1"/>
    <col min="14" max="14" width="13.875" style="3" customWidth="1"/>
    <col min="15" max="15" width="7.125" style="3" hidden="1" customWidth="1" outlineLevel="1"/>
    <col min="16" max="16" width="13.875" style="3" hidden="1" customWidth="1" outlineLevel="1"/>
    <col min="17" max="17" width="7.125" style="3" hidden="1" customWidth="1" outlineLevel="1"/>
    <col min="18" max="18" width="13.875" style="3" hidden="1" customWidth="1" outlineLevel="1"/>
    <col min="19" max="19" width="7.125" style="3" hidden="1" customWidth="1" outlineLevel="1"/>
    <col min="20" max="20" width="13.875" style="3" hidden="1" customWidth="1" outlineLevel="1"/>
    <col min="21" max="21" width="7.125" style="3" hidden="1" customWidth="1" outlineLevel="1"/>
    <col min="22" max="22" width="13.875" style="3" hidden="1" customWidth="1" outlineLevel="1"/>
    <col min="23" max="23" width="7.125" style="3" hidden="1" customWidth="1" outlineLevel="1"/>
    <col min="24" max="24" width="13.875" style="3" hidden="1" customWidth="1" outlineLevel="1"/>
    <col min="25" max="25" width="7.125" style="3" hidden="1" customWidth="1" outlineLevel="1"/>
    <col min="26" max="26" width="13.875" style="3" hidden="1" customWidth="1" outlineLevel="1"/>
    <col min="27" max="27" width="7.125" style="3" hidden="1" customWidth="1" outlineLevel="1"/>
    <col min="28" max="28" width="13.875" style="3" hidden="1" customWidth="1" outlineLevel="1"/>
    <col min="29" max="29" width="7.125" style="3" hidden="1" customWidth="1" outlineLevel="1"/>
    <col min="30" max="30" width="13.875" style="3" hidden="1" customWidth="1" outlineLevel="1"/>
    <col min="31" max="31" width="7.125" style="3" hidden="1" customWidth="1" outlineLevel="1"/>
    <col min="32" max="32" width="3.75" style="3" customWidth="1" collapsed="1"/>
    <col min="33" max="33" width="8" style="3" customWidth="1"/>
    <col min="34" max="34" width="3.75" style="3" customWidth="1"/>
    <col min="35" max="35" width="10.75" style="3" customWidth="1"/>
    <col min="36" max="16384" width="10.75" style="3"/>
  </cols>
  <sheetData>
    <row r="1" spans="1:44" s="62" customFormat="1" ht="23.25" customHeight="1" x14ac:dyDescent="0.2">
      <c r="A1" s="349" t="s">
        <v>103</v>
      </c>
      <c r="B1" s="350"/>
      <c r="C1" s="350">
        <f>EB.Jahr</f>
        <v>2020</v>
      </c>
      <c r="D1" s="351"/>
      <c r="E1" s="507" t="str">
        <f>Eingabeblatt!B1</f>
        <v>Employee Time Sheet</v>
      </c>
      <c r="F1" s="507"/>
      <c r="G1" s="507"/>
      <c r="H1" s="507"/>
      <c r="I1" s="507"/>
      <c r="J1" s="507"/>
      <c r="K1" s="507"/>
      <c r="L1" s="362"/>
      <c r="M1" s="362"/>
      <c r="N1" s="362"/>
      <c r="O1" s="362"/>
      <c r="P1" s="362"/>
      <c r="Q1" s="362"/>
      <c r="R1" s="362"/>
      <c r="S1" s="362"/>
      <c r="T1" s="362"/>
      <c r="U1" s="362"/>
      <c r="V1" s="362"/>
      <c r="W1" s="362"/>
      <c r="X1" s="362"/>
      <c r="Y1" s="362"/>
      <c r="Z1" s="362"/>
      <c r="AA1" s="362"/>
      <c r="AB1" s="362"/>
      <c r="AC1" s="362"/>
      <c r="AD1" s="362"/>
      <c r="AE1" s="362"/>
      <c r="AF1" s="362"/>
      <c r="AG1" s="308" t="str">
        <f>EB.Version</f>
        <v>Version 12.19</v>
      </c>
      <c r="AH1" s="309" t="str">
        <f>EB.Sprache</f>
        <v>EN</v>
      </c>
      <c r="AI1" s="4"/>
      <c r="AJ1" s="4"/>
    </row>
    <row r="2" spans="1:44" s="4" customFormat="1" ht="15" customHeight="1" x14ac:dyDescent="0.2">
      <c r="A2" s="363"/>
      <c r="B2" s="520" t="str">
        <f>Eingabeblatt!A3</f>
        <v>Name</v>
      </c>
      <c r="C2" s="521"/>
      <c r="D2" s="522"/>
      <c r="E2" s="524" t="str">
        <f>IF(EB.Name="","?",EB.Name)</f>
        <v>?</v>
      </c>
      <c r="F2" s="525"/>
      <c r="G2" s="525"/>
      <c r="H2" s="525"/>
      <c r="I2" s="525"/>
      <c r="J2" s="526"/>
      <c r="K2" s="364"/>
      <c r="L2" s="520" t="str">
        <f>Projektübersicht!M2</f>
        <v>ø FTE in %</v>
      </c>
      <c r="M2" s="522"/>
      <c r="N2" s="91">
        <f ca="1">EB.BG_Total</f>
        <v>100</v>
      </c>
      <c r="O2" s="364"/>
      <c r="P2" s="364"/>
      <c r="Q2" s="364"/>
      <c r="R2" s="365"/>
      <c r="S2" s="365"/>
      <c r="T2" s="364"/>
      <c r="U2" s="364"/>
      <c r="V2" s="364"/>
      <c r="W2" s="364"/>
      <c r="X2" s="364"/>
      <c r="Y2" s="364"/>
      <c r="Z2" s="364"/>
      <c r="AA2" s="364"/>
      <c r="AB2" s="364"/>
      <c r="AC2" s="364"/>
      <c r="AD2" s="364"/>
      <c r="AE2" s="364"/>
      <c r="AF2" s="366"/>
      <c r="AG2" s="364"/>
      <c r="AH2" s="364"/>
      <c r="AI2" s="1"/>
    </row>
    <row r="3" spans="1:44" s="4" customFormat="1" ht="15" customHeight="1" x14ac:dyDescent="0.2">
      <c r="A3" s="364"/>
      <c r="B3" s="520" t="str">
        <f>Eingabeblatt!H2</f>
        <v>Function</v>
      </c>
      <c r="C3" s="521"/>
      <c r="D3" s="522"/>
      <c r="E3" s="527" t="str">
        <f>EB.Funktion</f>
        <v>Description of Function</v>
      </c>
      <c r="F3" s="528"/>
      <c r="G3" s="528"/>
      <c r="H3" s="528"/>
      <c r="I3" s="528"/>
      <c r="J3" s="529"/>
      <c r="K3" s="364"/>
      <c r="L3" s="364"/>
      <c r="M3" s="364"/>
      <c r="N3" s="364"/>
      <c r="O3" s="364"/>
      <c r="P3" s="364"/>
      <c r="Q3" s="364"/>
      <c r="R3" s="364"/>
      <c r="S3" s="364"/>
      <c r="T3" s="364"/>
      <c r="U3" s="364"/>
      <c r="V3" s="364"/>
      <c r="W3" s="364"/>
      <c r="X3" s="364"/>
      <c r="Y3" s="364"/>
      <c r="Z3" s="364"/>
      <c r="AA3" s="364"/>
      <c r="AB3" s="364"/>
      <c r="AC3" s="364"/>
      <c r="AD3" s="364"/>
      <c r="AE3" s="364"/>
      <c r="AF3" s="366"/>
      <c r="AG3" s="364"/>
      <c r="AH3" s="364"/>
    </row>
    <row r="4" spans="1:44" s="4" customFormat="1" ht="15" customHeight="1" x14ac:dyDescent="0.2">
      <c r="A4" s="364"/>
      <c r="B4" s="520" t="str">
        <f>Eingabeblatt!H3</f>
        <v>Institute/Department</v>
      </c>
      <c r="C4" s="521"/>
      <c r="D4" s="522"/>
      <c r="E4" s="530" t="str">
        <f>EB.Institut</f>
        <v>Institute/Department Name</v>
      </c>
      <c r="F4" s="531"/>
      <c r="G4" s="531"/>
      <c r="H4" s="531"/>
      <c r="I4" s="531"/>
      <c r="J4" s="532"/>
      <c r="K4" s="364"/>
      <c r="L4" s="364"/>
      <c r="M4" s="364"/>
      <c r="N4" s="364"/>
      <c r="O4" s="364"/>
      <c r="P4" s="364"/>
      <c r="Q4" s="364"/>
      <c r="R4" s="364"/>
      <c r="S4" s="364"/>
      <c r="T4" s="364"/>
      <c r="U4" s="364"/>
      <c r="V4" s="364"/>
      <c r="W4" s="364"/>
      <c r="X4" s="364"/>
      <c r="Y4" s="364"/>
      <c r="Z4" s="364"/>
      <c r="AA4" s="364"/>
      <c r="AB4" s="364"/>
      <c r="AC4" s="364"/>
      <c r="AD4" s="364"/>
      <c r="AE4" s="364"/>
      <c r="AF4" s="366"/>
      <c r="AG4" s="364"/>
      <c r="AH4" s="364"/>
    </row>
    <row r="5" spans="1:44" s="4" customFormat="1" ht="15" customHeight="1" x14ac:dyDescent="0.2">
      <c r="A5" s="364"/>
      <c r="B5" s="517" t="str">
        <f>Eingabeblatt!A5</f>
        <v>Employee Number</v>
      </c>
      <c r="C5" s="518"/>
      <c r="D5" s="519"/>
      <c r="E5" s="533" t="str">
        <f>IF(EB.Personalnummer="","?",EB.Personalnummer)</f>
        <v>?</v>
      </c>
      <c r="F5" s="534"/>
      <c r="G5" s="534"/>
      <c r="H5" s="534"/>
      <c r="I5" s="534"/>
      <c r="J5" s="535"/>
      <c r="K5" s="364"/>
      <c r="L5" s="364"/>
      <c r="M5" s="364"/>
      <c r="N5" s="364"/>
      <c r="O5" s="364"/>
      <c r="P5" s="364"/>
      <c r="Q5" s="364"/>
      <c r="R5" s="364"/>
      <c r="S5" s="364"/>
      <c r="T5" s="364"/>
      <c r="U5" s="364"/>
      <c r="V5" s="364"/>
      <c r="W5" s="364"/>
      <c r="X5" s="364"/>
      <c r="Y5" s="364"/>
      <c r="Z5" s="364"/>
      <c r="AA5" s="364"/>
      <c r="AB5" s="364"/>
      <c r="AC5" s="364"/>
      <c r="AD5" s="364"/>
      <c r="AE5" s="364"/>
      <c r="AF5" s="366"/>
      <c r="AG5" s="364"/>
      <c r="AH5" s="364"/>
    </row>
    <row r="6" spans="1:44" s="4" customFormat="1" ht="15" customHeight="1" x14ac:dyDescent="0.2">
      <c r="A6" s="364"/>
      <c r="B6" s="517" t="str">
        <f>Eingabeblatt!H4</f>
        <v>Faculty</v>
      </c>
      <c r="C6" s="518"/>
      <c r="D6" s="519"/>
      <c r="E6" s="530" t="str">
        <f>EB.Fakultaet</f>
        <v>Select Faculty</v>
      </c>
      <c r="F6" s="531"/>
      <c r="G6" s="531"/>
      <c r="H6" s="531"/>
      <c r="I6" s="531"/>
      <c r="J6" s="532"/>
      <c r="K6" s="364"/>
      <c r="L6" s="364"/>
      <c r="M6" s="364"/>
      <c r="N6" s="364"/>
      <c r="O6" s="364"/>
      <c r="P6" s="364"/>
      <c r="Q6" s="364"/>
      <c r="R6" s="364"/>
      <c r="S6" s="364"/>
      <c r="T6" s="364"/>
      <c r="U6" s="364"/>
      <c r="V6" s="364"/>
      <c r="W6" s="364"/>
      <c r="X6" s="364"/>
      <c r="Y6" s="364"/>
      <c r="Z6" s="364"/>
      <c r="AA6" s="364"/>
      <c r="AB6" s="364"/>
      <c r="AC6" s="364"/>
      <c r="AD6" s="364"/>
      <c r="AE6" s="364"/>
      <c r="AF6" s="366"/>
      <c r="AG6" s="364"/>
      <c r="AH6" s="364"/>
    </row>
    <row r="7" spans="1:44" s="4" customFormat="1" ht="15" customHeight="1" x14ac:dyDescent="0.2">
      <c r="A7" s="364"/>
      <c r="B7" s="517" t="str">
        <f>Eingabeblatt!H5</f>
        <v>Employee Category</v>
      </c>
      <c r="C7" s="518"/>
      <c r="D7" s="519"/>
      <c r="E7" s="530" t="str">
        <f>EB.Personalkategorie</f>
        <v>Select Employee Category</v>
      </c>
      <c r="F7" s="531"/>
      <c r="G7" s="531"/>
      <c r="H7" s="531"/>
      <c r="I7" s="531"/>
      <c r="J7" s="532"/>
      <c r="K7" s="364"/>
      <c r="L7" s="364"/>
      <c r="M7" s="364"/>
      <c r="N7" s="364"/>
      <c r="O7" s="364"/>
      <c r="P7" s="364"/>
      <c r="Q7" s="364"/>
      <c r="R7" s="364"/>
      <c r="S7" s="364"/>
      <c r="T7" s="364"/>
      <c r="U7" s="364"/>
      <c r="V7" s="364"/>
      <c r="W7" s="364"/>
      <c r="X7" s="364"/>
      <c r="Y7" s="364"/>
      <c r="Z7" s="364"/>
      <c r="AA7" s="364"/>
      <c r="AB7" s="364"/>
      <c r="AC7" s="364"/>
      <c r="AD7" s="364"/>
      <c r="AE7" s="364"/>
      <c r="AF7" s="366"/>
      <c r="AG7" s="364"/>
      <c r="AH7" s="364"/>
      <c r="AR7" s="5"/>
    </row>
    <row r="8" spans="1:44" s="10" customFormat="1" ht="11.25" customHeight="1" x14ac:dyDescent="0.2">
      <c r="A8" s="367"/>
      <c r="B8" s="367" t="str">
        <f ca="1">IFERROR(MATCH(3,OFFSET(EB.Projektart.Knoten,1,0,EB.AnzProjekte,1),0),"")</f>
        <v/>
      </c>
      <c r="C8" s="367"/>
      <c r="D8" s="367" t="str">
        <f ca="1">IF(B8="","",IFERROR(MATCH(3,OFFSET(EB.Projektart.Knoten,1+B8,0,(EB.AnzProjekte-B8),1),0)+B8,""))</f>
        <v/>
      </c>
      <c r="E8" s="367"/>
      <c r="F8" s="367" t="str">
        <f ca="1">IF(D8="","",IFERROR(MATCH(3,OFFSET(EB.Projektart.Knoten,1+D8,0,(EB.AnzProjekte-D8),1),0)+D8,""))</f>
        <v/>
      </c>
      <c r="G8" s="367"/>
      <c r="H8" s="367" t="str">
        <f ca="1">IF(F8="","",IFERROR(MATCH(3,OFFSET(EB.Projektart.Knoten,1+F8,0,(EB.AnzProjekte-F8),1),0)+F8,""))</f>
        <v/>
      </c>
      <c r="I8" s="367"/>
      <c r="J8" s="367" t="str">
        <f ca="1">IF(H8="","",IFERROR(MATCH(3,OFFSET(EB.Projektart.Knoten,1+H8,0,(EB.AnzProjekte-H8),1),0)+H8,""))</f>
        <v/>
      </c>
      <c r="K8" s="367"/>
      <c r="L8" s="367" t="str">
        <f ca="1">IF(J8="","",IFERROR(MATCH(3,OFFSET(EB.Projektart.Knoten,1+J8,0,(EB.AnzProjekte-J8),1),0)+J8,""))</f>
        <v/>
      </c>
      <c r="M8" s="367"/>
      <c r="N8" s="367" t="str">
        <f ca="1">IF(L8="","",IFERROR(MATCH(3,OFFSET(EB.Projektart.Knoten,1+L8,0,(EB.AnzProjekte-L8),1),0)+L8,""))</f>
        <v/>
      </c>
      <c r="O8" s="367"/>
      <c r="P8" s="367" t="str">
        <f ca="1">IF(N8="","",IFERROR(MATCH(3,OFFSET(EB.Projektart.Knoten,1+N8,0,(EB.AnzProjekte-N8),1),0)+N8,""))</f>
        <v/>
      </c>
      <c r="Q8" s="367"/>
      <c r="R8" s="367" t="str">
        <f ca="1">IF(P8="","",IFERROR(MATCH(3,OFFSET(EB.Projektart.Knoten,1+P8,0,(EB.AnzProjekte-P8),1),0)+P8,""))</f>
        <v/>
      </c>
      <c r="S8" s="367"/>
      <c r="T8" s="367" t="str">
        <f ca="1">IF(R8="","",IFERROR(MATCH(3,OFFSET(EB.Projektart.Knoten,1+R8,0,(EB.AnzProjekte-R8),1),0)+R8,""))</f>
        <v/>
      </c>
      <c r="U8" s="367"/>
      <c r="V8" s="367" t="str">
        <f ca="1">IF(T8="","",IFERROR(MATCH(3,OFFSET(EB.Projektart.Knoten,1+T8,0,(EB.AnzProjekte-T8),1),0)+T8,""))</f>
        <v/>
      </c>
      <c r="W8" s="367"/>
      <c r="X8" s="367" t="str">
        <f ca="1">IF(V8="","",IFERROR(MATCH(3,OFFSET(EB.Projektart.Knoten,1+V8,0,(EB.AnzProjekte-V8),1),0)+V8,""))</f>
        <v/>
      </c>
      <c r="Y8" s="367"/>
      <c r="Z8" s="367" t="str">
        <f ca="1">IF(X8="","",IFERROR(MATCH(3,OFFSET(EB.Projektart.Knoten,1+X8,0,(EB.AnzProjekte-X8),1),0)+X8,""))</f>
        <v/>
      </c>
      <c r="AA8" s="367"/>
      <c r="AB8" s="367" t="str">
        <f ca="1">IF(Z8="","",IFERROR(MATCH(3,OFFSET(EB.Projektart.Knoten,1+Z8,0,(EB.AnzProjekte-Z8),1),0)+Z8,""))</f>
        <v/>
      </c>
      <c r="AC8" s="367"/>
      <c r="AD8" s="367" t="str">
        <f ca="1">IF(AB8="","",IFERROR(MATCH(3,OFFSET(EB.Projektart.Knoten,1+AB8,0,(EB.AnzProjekte-AB8),1),0)+AB8,""))</f>
        <v/>
      </c>
      <c r="AE8" s="367"/>
      <c r="AF8" s="368"/>
      <c r="AG8" s="368"/>
      <c r="AH8" s="367"/>
    </row>
    <row r="9" spans="1:44" s="6" customFormat="1" ht="180.75" customHeight="1" x14ac:dyDescent="0.2">
      <c r="A9" s="369"/>
      <c r="B9" s="370" t="str">
        <f ca="1">IF(B8="","",INDEX(EB.Projekte.Bereich,B8))</f>
        <v/>
      </c>
      <c r="C9" s="371" t="s">
        <v>239</v>
      </c>
      <c r="D9" s="370" t="str">
        <f ca="1">IF(D8="","",INDEX(EB.Projekte.Bereich,D8))</f>
        <v/>
      </c>
      <c r="E9" s="371" t="str">
        <f>$C9</f>
        <v>+/- required/actual monthly</v>
      </c>
      <c r="F9" s="370" t="str">
        <f ca="1">IF(F8="","",INDEX(EB.Projekte.Bereich,F8))</f>
        <v/>
      </c>
      <c r="G9" s="371" t="str">
        <f>$C9</f>
        <v>+/- required/actual monthly</v>
      </c>
      <c r="H9" s="370" t="str">
        <f ca="1">IF(H8="","",INDEX(EB.Projekte.Bereich,H8))</f>
        <v/>
      </c>
      <c r="I9" s="371" t="str">
        <f>$C9</f>
        <v>+/- required/actual monthly</v>
      </c>
      <c r="J9" s="370" t="str">
        <f ca="1">IF(J8="","",INDEX(EB.Projekte.Bereich,J8))</f>
        <v/>
      </c>
      <c r="K9" s="371" t="str">
        <f>$C9</f>
        <v>+/- required/actual monthly</v>
      </c>
      <c r="L9" s="372" t="str">
        <f ca="1">IF(L8="","",INDEX(EB.Projekte.Bereich,L8))</f>
        <v/>
      </c>
      <c r="M9" s="371" t="str">
        <f>$C9</f>
        <v>+/- required/actual monthly</v>
      </c>
      <c r="N9" s="370" t="str">
        <f ca="1">IF(N8="","",INDEX(EB.Projekte.Bereich,N8))</f>
        <v/>
      </c>
      <c r="O9" s="371" t="str">
        <f>$C9</f>
        <v>+/- required/actual monthly</v>
      </c>
      <c r="P9" s="370" t="str">
        <f ca="1">IF(P8="","",INDEX(EB.Projekte.Bereich,P8))</f>
        <v/>
      </c>
      <c r="Q9" s="371" t="str">
        <f>$C9</f>
        <v>+/- required/actual monthly</v>
      </c>
      <c r="R9" s="370" t="str">
        <f ca="1">IF(R8="","",INDEX(EB.Projekte.Bereich,R8))</f>
        <v/>
      </c>
      <c r="S9" s="371" t="str">
        <f>$C9</f>
        <v>+/- required/actual monthly</v>
      </c>
      <c r="T9" s="370" t="str">
        <f ca="1">IF(T8="","",INDEX(EB.Projekte.Bereich,T8))</f>
        <v/>
      </c>
      <c r="U9" s="371" t="str">
        <f>$C9</f>
        <v>+/- required/actual monthly</v>
      </c>
      <c r="V9" s="370" t="str">
        <f ca="1">IF(V8="","",INDEX(EB.Projekte.Bereich,V8))</f>
        <v/>
      </c>
      <c r="W9" s="371" t="str">
        <f>$C9</f>
        <v>+/- required/actual monthly</v>
      </c>
      <c r="X9" s="370" t="str">
        <f ca="1">IF(X8="","",INDEX(EB.Projekte.Bereich,X8))</f>
        <v/>
      </c>
      <c r="Y9" s="371" t="str">
        <f>$C9</f>
        <v>+/- required/actual monthly</v>
      </c>
      <c r="Z9" s="370" t="str">
        <f ca="1">IF(Z8="","",INDEX(EB.Projekte.Bereich,Z8))</f>
        <v/>
      </c>
      <c r="AA9" s="371" t="str">
        <f>$C9</f>
        <v>+/- required/actual monthly</v>
      </c>
      <c r="AB9" s="370" t="str">
        <f ca="1">IF(AB8="","",INDEX(EB.Projekte.Bereich,AB8))</f>
        <v/>
      </c>
      <c r="AC9" s="371" t="str">
        <f>$C9</f>
        <v>+/- required/actual monthly</v>
      </c>
      <c r="AD9" s="370" t="str">
        <f ca="1">IF(AD8="","",INDEX(EB.Projekte.Bereich,AD8))</f>
        <v/>
      </c>
      <c r="AE9" s="371" t="str">
        <f>$C9</f>
        <v>+/- required/actual monthly</v>
      </c>
      <c r="AF9" s="373"/>
      <c r="AG9" s="374" t="str">
        <f>Projektübersicht!R9</f>
        <v>Monthly/Yearly Project Workload</v>
      </c>
      <c r="AH9" s="364"/>
      <c r="AI9" s="4"/>
      <c r="AJ9" s="4"/>
      <c r="AK9" s="4"/>
      <c r="AL9" s="4"/>
      <c r="AM9" s="4"/>
      <c r="AN9" s="4"/>
      <c r="AO9" s="4"/>
      <c r="AP9" s="4"/>
    </row>
    <row r="10" spans="1:44" s="6" customFormat="1" ht="11.25" customHeight="1" x14ac:dyDescent="0.2">
      <c r="A10" s="369"/>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66"/>
      <c r="AG10" s="376"/>
      <c r="AH10" s="364"/>
      <c r="AI10" s="4"/>
      <c r="AJ10" s="4"/>
      <c r="AK10" s="4"/>
    </row>
    <row r="11" spans="1:44" s="4" customFormat="1" ht="15" customHeight="1" x14ac:dyDescent="0.2">
      <c r="A11" s="377" t="str">
        <f>Eingabeblatt!J30</f>
        <v>PSP Element no.</v>
      </c>
      <c r="B11" s="63" t="str">
        <f ca="1">IF(B$9="","",IFERROR(INDEX(EB.Projekte.ganzerBereich,B$8,3),0))</f>
        <v/>
      </c>
      <c r="C11" s="378"/>
      <c r="D11" s="63" t="str">
        <f ca="1">IF(D$9="","",IFERROR(INDEX(EB.Projekte.ganzerBereich,D$8,3),0))</f>
        <v/>
      </c>
      <c r="E11" s="378"/>
      <c r="F11" s="63" t="str">
        <f ca="1">IF(F$9="","",IFERROR(INDEX(EB.Projekte.ganzerBereich,F$8,3),0))</f>
        <v/>
      </c>
      <c r="G11" s="378"/>
      <c r="H11" s="63" t="str">
        <f ca="1">IF(H$9="","",IFERROR(INDEX(EB.Projekte.ganzerBereich,H$8,3),0))</f>
        <v/>
      </c>
      <c r="I11" s="378"/>
      <c r="J11" s="63" t="str">
        <f ca="1">IF(J$9="","",IFERROR(INDEX(EB.Projekte.ganzerBereich,J$8,3),0))</f>
        <v/>
      </c>
      <c r="K11" s="378"/>
      <c r="L11" s="63" t="str">
        <f ca="1">IF(L$9="","",IFERROR(INDEX(EB.Projekte.ganzerBereich,L$8,3),0))</f>
        <v/>
      </c>
      <c r="M11" s="378"/>
      <c r="N11" s="63" t="str">
        <f ca="1">IF(N$9="","",IFERROR(INDEX(EB.Projekte.ganzerBereich,N$8,3),0))</f>
        <v/>
      </c>
      <c r="O11" s="378"/>
      <c r="P11" s="63" t="str">
        <f ca="1">IF(P$9="","",IFERROR(INDEX(EB.Projekte.ganzerBereich,P$8,3),0))</f>
        <v/>
      </c>
      <c r="Q11" s="378"/>
      <c r="R11" s="63" t="str">
        <f ca="1">IF(R$9="","",IFERROR(INDEX(EB.Projekte.ganzerBereich,R$8,3),0))</f>
        <v/>
      </c>
      <c r="S11" s="378"/>
      <c r="T11" s="63" t="str">
        <f ca="1">IF(T$9="","",IFERROR(INDEX(EB.Projekte.ganzerBereich,T$8,3),0))</f>
        <v/>
      </c>
      <c r="U11" s="378"/>
      <c r="V11" s="63" t="str">
        <f ca="1">IF(V$9="","",IFERROR(INDEX(EB.Projekte.ganzerBereich,V$8,3),0))</f>
        <v/>
      </c>
      <c r="W11" s="378"/>
      <c r="X11" s="63" t="str">
        <f ca="1">IF(X$9="","",IFERROR(INDEX(EB.Projekte.ganzerBereich,X$8,3),0))</f>
        <v/>
      </c>
      <c r="Y11" s="378"/>
      <c r="Z11" s="63" t="str">
        <f ca="1">IF(Z$9="","",IFERROR(INDEX(EB.Projekte.ganzerBereich,Z$8,3),0))</f>
        <v/>
      </c>
      <c r="AA11" s="378"/>
      <c r="AB11" s="63" t="str">
        <f ca="1">IF(AB$9="","",IFERROR(INDEX(EB.Projekte.ganzerBereich,AB$8,3),0))</f>
        <v/>
      </c>
      <c r="AC11" s="378"/>
      <c r="AD11" s="63" t="str">
        <f ca="1">IF(AD$9="","",IFERROR(INDEX(EB.Projekte.ganzerBereich,AD$8,3),0))</f>
        <v/>
      </c>
      <c r="AE11" s="378"/>
      <c r="AF11" s="366"/>
      <c r="AG11" s="376"/>
      <c r="AH11" s="364"/>
    </row>
    <row r="12" spans="1:44" s="4" customFormat="1" ht="15" customHeight="1" x14ac:dyDescent="0.2">
      <c r="A12" s="377" t="str">
        <f>Eingabeblatt!K30</f>
        <v>Contract number</v>
      </c>
      <c r="B12" s="63" t="str">
        <f ca="1">IF(B$9="","",IFERROR(INDEX(EB.Projekte.ganzerBereich,B$8,4),0))</f>
        <v/>
      </c>
      <c r="C12" s="378"/>
      <c r="D12" s="63" t="str">
        <f ca="1">IF(D$9="","",IFERROR(INDEX(EB.Projekte.ganzerBereich,D$8,4),0))</f>
        <v/>
      </c>
      <c r="E12" s="378"/>
      <c r="F12" s="63" t="str">
        <f ca="1">IF(F$9="","",IFERROR(INDEX(EB.Projekte.ganzerBereich,F$8,4),0))</f>
        <v/>
      </c>
      <c r="G12" s="378"/>
      <c r="H12" s="63" t="str">
        <f ca="1">IF(H$9="","",IFERROR(INDEX(EB.Projekte.ganzerBereich,H$8,4),0))</f>
        <v/>
      </c>
      <c r="I12" s="378"/>
      <c r="J12" s="63" t="str">
        <f ca="1">IF(J$9="","",IFERROR(INDEX(EB.Projekte.ganzerBereich,J$8,4),0))</f>
        <v/>
      </c>
      <c r="K12" s="378"/>
      <c r="L12" s="63" t="str">
        <f ca="1">IF(L$9="","",IFERROR(INDEX(EB.Projekte.ganzerBereich,L$8,4),0))</f>
        <v/>
      </c>
      <c r="M12" s="378"/>
      <c r="N12" s="63" t="str">
        <f ca="1">IF(N$9="","",IFERROR(INDEX(EB.Projekte.ganzerBereich,N$8,4),0))</f>
        <v/>
      </c>
      <c r="O12" s="378"/>
      <c r="P12" s="63" t="str">
        <f ca="1">IF(P$9="","",IFERROR(INDEX(EB.Projekte.ganzerBereich,P$8,4),0))</f>
        <v/>
      </c>
      <c r="Q12" s="378"/>
      <c r="R12" s="63" t="str">
        <f ca="1">IF(R$9="","",IFERROR(INDEX(EB.Projekte.ganzerBereich,R$8,4),0))</f>
        <v/>
      </c>
      <c r="S12" s="378"/>
      <c r="T12" s="63" t="str">
        <f ca="1">IF(T$9="","",IFERROR(INDEX(EB.Projekte.ganzerBereich,T$8,4),0))</f>
        <v/>
      </c>
      <c r="U12" s="378"/>
      <c r="V12" s="63" t="str">
        <f ca="1">IF(V$9="","",IFERROR(INDEX(EB.Projekte.ganzerBereich,V$8,4),0))</f>
        <v/>
      </c>
      <c r="W12" s="378"/>
      <c r="X12" s="63" t="str">
        <f ca="1">IF(X$9="","",IFERROR(INDEX(EB.Projekte.ganzerBereich,X$8,4),0))</f>
        <v/>
      </c>
      <c r="Y12" s="378"/>
      <c r="Z12" s="63" t="str">
        <f ca="1">IF(Z$9="","",IFERROR(INDEX(EB.Projekte.ganzerBereich,Z$8,4),0))</f>
        <v/>
      </c>
      <c r="AA12" s="378"/>
      <c r="AB12" s="63" t="str">
        <f ca="1">IF(AB$9="","",IFERROR(INDEX(EB.Projekte.ganzerBereich,AB$8,4),0))</f>
        <v/>
      </c>
      <c r="AC12" s="378"/>
      <c r="AD12" s="63" t="str">
        <f ca="1">IF(AD$9="","",IFERROR(INDEX(EB.Projekte.ganzerBereich,AD$8,4),0))</f>
        <v/>
      </c>
      <c r="AE12" s="378"/>
      <c r="AF12" s="366"/>
      <c r="AG12" s="376"/>
      <c r="AH12" s="364"/>
    </row>
    <row r="13" spans="1:44" s="4" customFormat="1" ht="15" customHeight="1" x14ac:dyDescent="0.2">
      <c r="A13" s="377" t="str">
        <f>Eingabeblatt!L30</f>
        <v>Project head</v>
      </c>
      <c r="B13" s="63" t="str">
        <f ca="1">IF(B$9="","",IFERROR(INDEX(EB.Projekte.ganzerBereich,B$8,5),0))</f>
        <v/>
      </c>
      <c r="C13" s="378"/>
      <c r="D13" s="63" t="str">
        <f ca="1">IF(D$9="","",IFERROR(INDEX(EB.Projekte.ganzerBereich,D$8,5),0))</f>
        <v/>
      </c>
      <c r="E13" s="378"/>
      <c r="F13" s="63" t="str">
        <f ca="1">IF(F$9="","",IFERROR(INDEX(EB.Projekte.ganzerBereich,F$8,5),0))</f>
        <v/>
      </c>
      <c r="G13" s="378"/>
      <c r="H13" s="63" t="str">
        <f ca="1">IF(H$9="","",IFERROR(INDEX(EB.Projekte.ganzerBereich,H$8,5),0))</f>
        <v/>
      </c>
      <c r="I13" s="378"/>
      <c r="J13" s="63" t="str">
        <f ca="1">IF(J$9="","",IFERROR(INDEX(EB.Projekte.ganzerBereich,J$8,5),0))</f>
        <v/>
      </c>
      <c r="K13" s="378"/>
      <c r="L13" s="63" t="str">
        <f ca="1">IF(L$9="","",IFERROR(INDEX(EB.Projekte.ganzerBereich,L$8,5),0))</f>
        <v/>
      </c>
      <c r="M13" s="378"/>
      <c r="N13" s="63" t="str">
        <f ca="1">IF(N$9="","",IFERROR(INDEX(EB.Projekte.ganzerBereich,N$8,5),0))</f>
        <v/>
      </c>
      <c r="O13" s="378"/>
      <c r="P13" s="63" t="str">
        <f ca="1">IF(P$9="","",IFERROR(INDEX(EB.Projekte.ganzerBereich,P$8,5),0))</f>
        <v/>
      </c>
      <c r="Q13" s="378"/>
      <c r="R13" s="63" t="str">
        <f ca="1">IF(R$9="","",IFERROR(INDEX(EB.Projekte.ganzerBereich,R$8,5),0))</f>
        <v/>
      </c>
      <c r="S13" s="378"/>
      <c r="T13" s="63" t="str">
        <f ca="1">IF(T$9="","",IFERROR(INDEX(EB.Projekte.ganzerBereich,T$8,5),0))</f>
        <v/>
      </c>
      <c r="U13" s="378"/>
      <c r="V13" s="63" t="str">
        <f ca="1">IF(V$9="","",IFERROR(INDEX(EB.Projekte.ganzerBereich,V$8,5),0))</f>
        <v/>
      </c>
      <c r="W13" s="378"/>
      <c r="X13" s="63" t="str">
        <f ca="1">IF(X$9="","",IFERROR(INDEX(EB.Projekte.ganzerBereich,X$8,5),0))</f>
        <v/>
      </c>
      <c r="Y13" s="378"/>
      <c r="Z13" s="63" t="str">
        <f ca="1">IF(Z$9="","",IFERROR(INDEX(EB.Projekte.ganzerBereich,Z$8,5),0))</f>
        <v/>
      </c>
      <c r="AA13" s="378"/>
      <c r="AB13" s="63" t="str">
        <f ca="1">IF(AB$9="","",IFERROR(INDEX(EB.Projekte.ganzerBereich,AB$8,5),0))</f>
        <v/>
      </c>
      <c r="AC13" s="378"/>
      <c r="AD13" s="63" t="str">
        <f ca="1">IF(AD$9="","",IFERROR(INDEX(EB.Projekte.ganzerBereich,AD$8,5),0))</f>
        <v/>
      </c>
      <c r="AE13" s="378"/>
      <c r="AF13" s="366"/>
      <c r="AG13" s="376"/>
      <c r="AH13" s="364"/>
    </row>
    <row r="14" spans="1:44" s="4" customFormat="1" ht="15" customHeight="1" x14ac:dyDescent="0.2">
      <c r="A14" s="377" t="str">
        <f>Eingabeblatt!M30</f>
        <v>FTE acc. to employment contract</v>
      </c>
      <c r="B14" s="95" t="str">
        <f ca="1">IF(B$9="","",IFERROR(INDEX(EB.Projekte.ganzerBereich,B$8,6),0))</f>
        <v/>
      </c>
      <c r="C14" s="378"/>
      <c r="D14" s="95" t="str">
        <f ca="1">IF(D$9="","",IFERROR(INDEX(EB.Projekte.ganzerBereich,D$8,6),0))</f>
        <v/>
      </c>
      <c r="E14" s="378"/>
      <c r="F14" s="95" t="str">
        <f ca="1">IF(F$9="","",IFERROR(INDEX(EB.Projekte.ganzerBereich,F$8,6),0))</f>
        <v/>
      </c>
      <c r="G14" s="378"/>
      <c r="H14" s="95" t="str">
        <f ca="1">IF(H$9="","",IFERROR(INDEX(EB.Projekte.ganzerBereich,H$8,6),0))</f>
        <v/>
      </c>
      <c r="I14" s="378"/>
      <c r="J14" s="95" t="str">
        <f ca="1">IF(J$9="","",IFERROR(INDEX(EB.Projekte.ganzerBereich,J$8,6),0))</f>
        <v/>
      </c>
      <c r="K14" s="378"/>
      <c r="L14" s="95" t="str">
        <f ca="1">IF(L$9="","",IFERROR(INDEX(EB.Projekte.ganzerBereich,L$8,6),0))</f>
        <v/>
      </c>
      <c r="M14" s="378"/>
      <c r="N14" s="95" t="str">
        <f ca="1">IF(N$9="","",IFERROR(INDEX(EB.Projekte.ganzerBereich,N$8,6),0))</f>
        <v/>
      </c>
      <c r="O14" s="378"/>
      <c r="P14" s="95" t="str">
        <f ca="1">IF(P$9="","",IFERROR(INDEX(EB.Projekte.ganzerBereich,P$8,6),0))</f>
        <v/>
      </c>
      <c r="Q14" s="378"/>
      <c r="R14" s="95" t="str">
        <f ca="1">IF(R$9="","",IFERROR(INDEX(EB.Projekte.ganzerBereich,R$8,6),0))</f>
        <v/>
      </c>
      <c r="S14" s="378"/>
      <c r="T14" s="95" t="str">
        <f ca="1">IF(T$9="","",IFERROR(INDEX(EB.Projekte.ganzerBereich,T$8,6),0))</f>
        <v/>
      </c>
      <c r="U14" s="378"/>
      <c r="V14" s="95" t="str">
        <f ca="1">IF(V$9="","",IFERROR(INDEX(EB.Projekte.ganzerBereich,V$8,6),0))</f>
        <v/>
      </c>
      <c r="W14" s="378"/>
      <c r="X14" s="95" t="str">
        <f ca="1">IF(X$9="","",IFERROR(INDEX(EB.Projekte.ganzerBereich,X$8,6),0))</f>
        <v/>
      </c>
      <c r="Y14" s="378"/>
      <c r="Z14" s="95" t="str">
        <f ca="1">IF(Z$9="","",IFERROR(INDEX(EB.Projekte.ganzerBereich,Z$8,6),0))</f>
        <v/>
      </c>
      <c r="AA14" s="378"/>
      <c r="AB14" s="95" t="str">
        <f ca="1">IF(AB$9="","",IFERROR(INDEX(EB.Projekte.ganzerBereich,AB$8,6),0))</f>
        <v/>
      </c>
      <c r="AC14" s="378"/>
      <c r="AD14" s="95" t="str">
        <f ca="1">IF(AD$9="","",IFERROR(INDEX(EB.Projekte.ganzerBereich,AD$8,6),0))</f>
        <v/>
      </c>
      <c r="AE14" s="378"/>
      <c r="AF14" s="366"/>
      <c r="AG14" s="376"/>
      <c r="AH14" s="364"/>
    </row>
    <row r="15" spans="1:44" s="4" customFormat="1" ht="15" customHeight="1" x14ac:dyDescent="0.2">
      <c r="A15" s="377" t="s">
        <v>238</v>
      </c>
      <c r="B15" s="8" t="str">
        <f ca="1">IF(ISERROR(B14/B31*B30),"-     ",B14/B31*B30)</f>
        <v xml:space="preserve">-     </v>
      </c>
      <c r="C15" s="378"/>
      <c r="D15" s="8" t="str">
        <f ca="1">IF(ISERROR(D14/D31*D30),"-     ",D14/D31*D30)</f>
        <v xml:space="preserve">-     </v>
      </c>
      <c r="E15" s="378"/>
      <c r="F15" s="8" t="str">
        <f ca="1">IF(ISERROR(F14/F31*F30),"-     ",F14/F31*F30)</f>
        <v xml:space="preserve">-     </v>
      </c>
      <c r="G15" s="378"/>
      <c r="H15" s="8" t="str">
        <f ca="1">IF(ISERROR(H14/H31*H30),"-     ",H14/H31*H30)</f>
        <v xml:space="preserve">-     </v>
      </c>
      <c r="I15" s="378"/>
      <c r="J15" s="8" t="str">
        <f ca="1">IF(ISERROR(J14/J31*J30),"-     ",J14/J31*J30)</f>
        <v xml:space="preserve">-     </v>
      </c>
      <c r="K15" s="378"/>
      <c r="L15" s="8" t="str">
        <f ca="1">IF(ISERROR(L14/L31*L30),"-     ",L14/L31*L30)</f>
        <v xml:space="preserve">-     </v>
      </c>
      <c r="M15" s="378"/>
      <c r="N15" s="8" t="str">
        <f ca="1">IF(ISERROR(N14/N31*N30),"-     ",N14/N31*N30)</f>
        <v xml:space="preserve">-     </v>
      </c>
      <c r="O15" s="378"/>
      <c r="P15" s="8" t="str">
        <f ca="1">IF(ISERROR(P14/P31*P30),"-     ",P14/P31*P30)</f>
        <v xml:space="preserve">-     </v>
      </c>
      <c r="Q15" s="378"/>
      <c r="R15" s="8" t="str">
        <f ca="1">IF(ISERROR(R14/R31*R30),"-     ",R14/R31*R30)</f>
        <v xml:space="preserve">-     </v>
      </c>
      <c r="S15" s="378"/>
      <c r="T15" s="8" t="str">
        <f ca="1">IF(ISERROR(T14/T31*T30),"-     ",T14/T31*T30)</f>
        <v xml:space="preserve">-     </v>
      </c>
      <c r="U15" s="378"/>
      <c r="V15" s="8" t="str">
        <f ca="1">IF(ISERROR(V14/V31*V30),"-     ",V14/V31*V30)</f>
        <v xml:space="preserve">-     </v>
      </c>
      <c r="W15" s="378"/>
      <c r="X15" s="8" t="str">
        <f ca="1">IF(ISERROR(X14/X31*X30),"-     ",X14/X31*X30)</f>
        <v xml:space="preserve">-     </v>
      </c>
      <c r="Y15" s="378"/>
      <c r="Z15" s="8" t="str">
        <f ca="1">IF(ISERROR(Z14/Z31*Z30),"-     ",Z14/Z31*Z30)</f>
        <v xml:space="preserve">-     </v>
      </c>
      <c r="AA15" s="378"/>
      <c r="AB15" s="8" t="str">
        <f ca="1">IF(ISERROR(AB14/AB31*AB30),"-     ",AB14/AB31*AB30)</f>
        <v xml:space="preserve">-     </v>
      </c>
      <c r="AC15" s="378"/>
      <c r="AD15" s="8" t="str">
        <f ca="1">IF(ISERROR(AD14/AD31*AD30),"-     ",AD14/AD31*AD30)</f>
        <v xml:space="preserve">-     </v>
      </c>
      <c r="AE15" s="366"/>
      <c r="AF15" s="366"/>
      <c r="AG15" s="379"/>
      <c r="AH15" s="364"/>
    </row>
    <row r="16" spans="1:44" s="4" customFormat="1" ht="11.25" customHeight="1" x14ac:dyDescent="0.2">
      <c r="A16" s="378"/>
      <c r="B16" s="378"/>
      <c r="C16" s="378"/>
      <c r="D16" s="366"/>
      <c r="E16" s="378"/>
      <c r="F16" s="366"/>
      <c r="G16" s="366"/>
      <c r="H16" s="366"/>
      <c r="I16" s="366"/>
      <c r="J16" s="366"/>
      <c r="K16" s="366"/>
      <c r="L16" s="366"/>
      <c r="M16" s="366"/>
      <c r="N16" s="366"/>
      <c r="O16" s="366"/>
      <c r="P16" s="366"/>
      <c r="Q16" s="366"/>
      <c r="R16" s="366"/>
      <c r="S16" s="366"/>
      <c r="T16" s="366"/>
      <c r="U16" s="366"/>
      <c r="V16" s="366"/>
      <c r="W16" s="378"/>
      <c r="X16" s="366"/>
      <c r="Y16" s="366"/>
      <c r="Z16" s="366"/>
      <c r="AA16" s="366"/>
      <c r="AB16" s="366"/>
      <c r="AC16" s="366"/>
      <c r="AD16" s="366"/>
      <c r="AE16" s="366"/>
      <c r="AF16" s="366"/>
      <c r="AG16" s="366"/>
      <c r="AH16" s="366"/>
    </row>
    <row r="17" spans="1:34" s="4" customFormat="1" ht="15" customHeight="1" x14ac:dyDescent="0.2">
      <c r="A17" s="380" t="str">
        <f>INDEX(EB.Monate.Bereich,1,0)</f>
        <v>January</v>
      </c>
      <c r="B17" s="64" t="str">
        <f ca="1">IF(B$8="","",IF(EB.Anwendung&lt;&gt;"",IF(INDEX(January!Monat.ProjekteTotal.Bereich,B$8)&lt;=0,0,INDEX(January!Monat.ProjekteTotal.Bereich,B$8)),""))</f>
        <v/>
      </c>
      <c r="C17" s="381" t="str">
        <f ca="1">IF(OR(B17="",Eingabeblatt!$H13=0),"",ROUND((B17-(T.ProdStunden.Bereich/100)*B$14/12)*1440,0)/1440)</f>
        <v/>
      </c>
      <c r="D17" s="64" t="str">
        <f ca="1">IF(D$8="","",IF(EB.Anwendung&lt;&gt;"",IF(INDEX(January!Monat.ProjekteTotal.Bereich,D$8)&lt;=0,0,INDEX(January!Monat.ProjekteTotal.Bereich,D$8)),""))</f>
        <v/>
      </c>
      <c r="E17" s="381" t="str">
        <f ca="1">IF(OR(D17="",Eingabeblatt!$H13=0),"",ROUND((D17-(T.ProdStunden.Bereich/100)*D$14/12)*1440,0)/1440)</f>
        <v/>
      </c>
      <c r="F17" s="64" t="str">
        <f ca="1">IF(F$8="","",IF(EB.Anwendung&lt;&gt;"",IF(INDEX(January!Monat.ProjekteTotal.Bereich,F$8)&lt;=0,0,INDEX(January!Monat.ProjekteTotal.Bereich,F$8)),""))</f>
        <v/>
      </c>
      <c r="G17" s="381" t="str">
        <f ca="1">IF(OR(F17="",Eingabeblatt!$H13=0),"",ROUND((F17-(T.ProdStunden.Bereich/100)*F$14/12)*1440,0)/1440)</f>
        <v/>
      </c>
      <c r="H17" s="64" t="str">
        <f ca="1">IF(H$8="","",IF(EB.Anwendung&lt;&gt;"",IF(INDEX(January!Monat.ProjekteTotal.Bereich,H$8)&lt;=0,0,INDEX(January!Monat.ProjekteTotal.Bereich,H$8)),""))</f>
        <v/>
      </c>
      <c r="I17" s="381" t="str">
        <f ca="1">IF(OR(H17="",Eingabeblatt!$H13=0),"",ROUND((H17-(T.ProdStunden.Bereich/100)*H$14/12)*1440,0)/1440)</f>
        <v/>
      </c>
      <c r="J17" s="64" t="str">
        <f ca="1">IF(J$8="","",IF(EB.Anwendung&lt;&gt;"",IF(INDEX(January!Monat.ProjekteTotal.Bereich,J$8)&lt;=0,0,INDEX(January!Monat.ProjekteTotal.Bereich,J$8)),""))</f>
        <v/>
      </c>
      <c r="K17" s="381" t="str">
        <f ca="1">IF(OR(J17="",Eingabeblatt!$H13=0),"",ROUND((J17-(T.ProdStunden.Bereich/100)*J$14/12)*1440,0)/1440)</f>
        <v/>
      </c>
      <c r="L17" s="64" t="str">
        <f ca="1">IF(L$8="","",IF(EB.Anwendung&lt;&gt;"",IF(INDEX(January!Monat.ProjekteTotal.Bereich,L$8)&lt;=0,0,INDEX(January!Monat.ProjekteTotal.Bereich,L$8)),""))</f>
        <v/>
      </c>
      <c r="M17" s="381" t="str">
        <f ca="1">IF(OR(L17="",Eingabeblatt!$H13=0),"",ROUND((L17-(T.ProdStunden.Bereich/100)*L$14/12)*1440,0)/1440)</f>
        <v/>
      </c>
      <c r="N17" s="64" t="str">
        <f ca="1">IF(N$8="","",IF(EB.Anwendung&lt;&gt;"",IF(INDEX(January!Monat.ProjekteTotal.Bereich,N$8)&lt;=0,0,INDEX(January!Monat.ProjekteTotal.Bereich,N$8)),""))</f>
        <v/>
      </c>
      <c r="O17" s="381" t="str">
        <f ca="1">IF(OR(N17="",Eingabeblatt!$H13=0),"",ROUND((N17-(T.ProdStunden.Bereich/100)*N$14/12)*1440,0)/1440)</f>
        <v/>
      </c>
      <c r="P17" s="64" t="str">
        <f ca="1">IF(P$8="","",IF(EB.Anwendung&lt;&gt;"",IF(INDEX(January!Monat.ProjekteTotal.Bereich,P$8)&lt;=0,0,INDEX(January!Monat.ProjekteTotal.Bereich,P$8)),""))</f>
        <v/>
      </c>
      <c r="Q17" s="381" t="str">
        <f ca="1">IF(OR(P17="",Eingabeblatt!$H13=0),"",ROUND((P17-(T.ProdStunden.Bereich/100)*P$14/12)*1440,0)/1440)</f>
        <v/>
      </c>
      <c r="R17" s="64" t="str">
        <f ca="1">IF(R$8="","",IF(EB.Anwendung&lt;&gt;"",IF(INDEX(January!Monat.ProjekteTotal.Bereich,R$8)&lt;=0,0,INDEX(January!Monat.ProjekteTotal.Bereich,R$8)),""))</f>
        <v/>
      </c>
      <c r="S17" s="381" t="str">
        <f ca="1">IF(OR(R17="",Eingabeblatt!$H13=0),"",ROUND((R17-(T.ProdStunden.Bereich/100)*R$14/12)*1440,0)/1440)</f>
        <v/>
      </c>
      <c r="T17" s="64" t="str">
        <f ca="1">IF(T$8="","",IF(EB.Anwendung&lt;&gt;"",IF(INDEX(January!Monat.ProjekteTotal.Bereich,T$8)&lt;=0,0,INDEX(January!Monat.ProjekteTotal.Bereich,T$8)),""))</f>
        <v/>
      </c>
      <c r="U17" s="381" t="str">
        <f ca="1">IF(OR(T17="",Eingabeblatt!$H13=0),"",ROUND((T17-(T.ProdStunden.Bereich/100)*T$14/12)*1440,0)/1440)</f>
        <v/>
      </c>
      <c r="V17" s="64" t="str">
        <f ca="1">IF(V$8="","",IF(EB.Anwendung&lt;&gt;"",IF(INDEX(January!Monat.ProjekteTotal.Bereich,V$8)&lt;=0,0,INDEX(January!Monat.ProjekteTotal.Bereich,V$8)),""))</f>
        <v/>
      </c>
      <c r="W17" s="381" t="str">
        <f ca="1">IF(OR(V17="",Eingabeblatt!$H13=0),"",ROUND((V17-(T.ProdStunden.Bereich/100)*V$14/12)*1440,0)/1440)</f>
        <v/>
      </c>
      <c r="X17" s="64" t="str">
        <f ca="1">IF(X$8="","",IF(EB.Anwendung&lt;&gt;"",IF(INDEX(January!Monat.ProjekteTotal.Bereich,X$8)&lt;=0,0,INDEX(January!Monat.ProjekteTotal.Bereich,X$8)),""))</f>
        <v/>
      </c>
      <c r="Y17" s="381" t="str">
        <f ca="1">IF(OR(X17="",Eingabeblatt!$H13=0),"",ROUND((X17-(T.ProdStunden.Bereich/100)*X$14/12)*1440,0)/1440)</f>
        <v/>
      </c>
      <c r="Z17" s="64" t="str">
        <f ca="1">IF(Z$8="","",IF(EB.Anwendung&lt;&gt;"",IF(INDEX(January!Monat.ProjekteTotal.Bereich,Z$8)&lt;=0,0,INDEX(January!Monat.ProjekteTotal.Bereich,Z$8)),""))</f>
        <v/>
      </c>
      <c r="AA17" s="381" t="str">
        <f ca="1">IF(OR(Z17="",Eingabeblatt!$H13=0),"",ROUND((Z17-(T.ProdStunden.Bereich/100)*Z$14/12)*1440,0)/1440)</f>
        <v/>
      </c>
      <c r="AB17" s="64" t="str">
        <f ca="1">IF(AB$8="","",IF(EB.Anwendung&lt;&gt;"",IF(INDEX(January!Monat.ProjekteTotal.Bereich,AB$8)&lt;=0,0,INDEX(January!Monat.ProjekteTotal.Bereich,AB$8)),""))</f>
        <v/>
      </c>
      <c r="AC17" s="381" t="str">
        <f ca="1">IF(OR(AB17="",Eingabeblatt!$H13=0),"",ROUND((AB17-(T.ProdStunden.Bereich/100)*AB$14/12)*1440,0)/1440)</f>
        <v/>
      </c>
      <c r="AD17" s="64" t="str">
        <f ca="1">IF(AD$8="","",IF(EB.Anwendung&lt;&gt;"",IF(INDEX(January!Monat.ProjekteTotal.Bereich,AD$8)&lt;=0,0,INDEX(January!Monat.ProjekteTotal.Bereich,AD$8)),""))</f>
        <v/>
      </c>
      <c r="AE17" s="381" t="str">
        <f ca="1">IF(OR(AD17="",Eingabeblatt!$H13=0),"",ROUND((AD17-(T.ProdStunden.Bereich/100)*AD$14/12)*1440,0)/1440)</f>
        <v/>
      </c>
      <c r="AF17" s="366"/>
      <c r="AG17" s="382">
        <f t="shared" ref="AG17:AG28" ca="1" si="0">SUM(B17,D17,F17,H17,J17,L17,N17,P17,R17,T17,V17,X17,Z17,AB17,AD17)</f>
        <v>0</v>
      </c>
      <c r="AH17" s="364"/>
    </row>
    <row r="18" spans="1:34" s="4" customFormat="1" ht="15" customHeight="1" x14ac:dyDescent="0.2">
      <c r="A18" s="380" t="str">
        <f>INDEX(EB.Monate.Bereich,2,0)</f>
        <v>February</v>
      </c>
      <c r="B18" s="64" t="str">
        <f ca="1">IF(B$8="","",IF(EB.Anwendung&lt;&gt;"",IF(INDEX(February!Monat.ProjekteTotal.Bereich,B$8)&lt;=0,0,INDEX(February!Monat.ProjekteTotal.Bereich,B$8)),""))</f>
        <v/>
      </c>
      <c r="C18" s="381" t="str">
        <f ca="1">IF(OR(B18="",Eingabeblatt!$H14=0),"",ROUND((B18-(T.ProdStunden.Bereich/100)*B$14/12)*1440,0)/1440)</f>
        <v/>
      </c>
      <c r="D18" s="64" t="str">
        <f ca="1">IF(D$8="","",IF(EB.Anwendung&lt;&gt;"",IF(INDEX(February!Monat.ProjekteTotal.Bereich,D$8)&lt;=0,0,INDEX(February!Monat.ProjekteTotal.Bereich,D$8)),""))</f>
        <v/>
      </c>
      <c r="E18" s="381" t="str">
        <f ca="1">IF(OR(D18="",Eingabeblatt!$H14=0),"",ROUND((D18-(T.ProdStunden.Bereich/100)*D$14/12)*1440,0)/1440)</f>
        <v/>
      </c>
      <c r="F18" s="64" t="str">
        <f ca="1">IF(F$8="","",IF(EB.Anwendung&lt;&gt;"",IF(INDEX(February!Monat.ProjekteTotal.Bereich,F$8)&lt;=0,0,INDEX(February!Monat.ProjekteTotal.Bereich,F$8)),""))</f>
        <v/>
      </c>
      <c r="G18" s="381" t="str">
        <f ca="1">IF(OR(F18="",Eingabeblatt!$H14=0),"",ROUND((F18-(T.ProdStunden.Bereich/100)*F$14/12)*1440,0)/1440)</f>
        <v/>
      </c>
      <c r="H18" s="64" t="str">
        <f ca="1">IF(H$8="","",IF(EB.Anwendung&lt;&gt;"",IF(INDEX(February!Monat.ProjekteTotal.Bereich,H$8)&lt;=0,0,INDEX(February!Monat.ProjekteTotal.Bereich,H$8)),""))</f>
        <v/>
      </c>
      <c r="I18" s="381" t="str">
        <f ca="1">IF(OR(H18="",Eingabeblatt!$H14=0),"",ROUND((H18-(T.ProdStunden.Bereich/100)*H$14/12)*1440,0)/1440)</f>
        <v/>
      </c>
      <c r="J18" s="64" t="str">
        <f ca="1">IF(J$8="","",IF(EB.Anwendung&lt;&gt;"",IF(INDEX(February!Monat.ProjekteTotal.Bereich,J$8)&lt;=0,0,INDEX(February!Monat.ProjekteTotal.Bereich,J$8)),""))</f>
        <v/>
      </c>
      <c r="K18" s="381" t="str">
        <f ca="1">IF(OR(J18="",Eingabeblatt!$H14=0),"",ROUND((J18-(T.ProdStunden.Bereich/100)*J$14/12)*1440,0)/1440)</f>
        <v/>
      </c>
      <c r="L18" s="64" t="str">
        <f ca="1">IF(L$8="","",IF(EB.Anwendung&lt;&gt;"",IF(INDEX(February!Monat.ProjekteTotal.Bereich,L$8)&lt;=0,0,INDEX(February!Monat.ProjekteTotal.Bereich,L$8)),""))</f>
        <v/>
      </c>
      <c r="M18" s="381" t="str">
        <f ca="1">IF(OR(L18="",Eingabeblatt!$H14=0),"",ROUND((L18-(T.ProdStunden.Bereich/100)*L$14/12)*1440,0)/1440)</f>
        <v/>
      </c>
      <c r="N18" s="64" t="str">
        <f ca="1">IF(N$8="","",IF(EB.Anwendung&lt;&gt;"",IF(INDEX(February!Monat.ProjekteTotal.Bereich,N$8)&lt;=0,0,INDEX(February!Monat.ProjekteTotal.Bereich,N$8)),""))</f>
        <v/>
      </c>
      <c r="O18" s="381" t="str">
        <f ca="1">IF(OR(N18="",Eingabeblatt!$H14=0),"",ROUND((N18-(T.ProdStunden.Bereich/100)*N$14/12)*1440,0)/1440)</f>
        <v/>
      </c>
      <c r="P18" s="64" t="str">
        <f ca="1">IF(P$8="","",IF(EB.Anwendung&lt;&gt;"",IF(INDEX(February!Monat.ProjekteTotal.Bereich,P$8)&lt;=0,0,INDEX(February!Monat.ProjekteTotal.Bereich,P$8)),""))</f>
        <v/>
      </c>
      <c r="Q18" s="381" t="str">
        <f ca="1">IF(OR(P18="",Eingabeblatt!$H14=0),"",ROUND((P18-(T.ProdStunden.Bereich/100)*P$14/12)*1440,0)/1440)</f>
        <v/>
      </c>
      <c r="R18" s="64" t="str">
        <f ca="1">IF(R$8="","",IF(EB.Anwendung&lt;&gt;"",IF(INDEX(February!Monat.ProjekteTotal.Bereich,R$8)&lt;=0,0,INDEX(February!Monat.ProjekteTotal.Bereich,R$8)),""))</f>
        <v/>
      </c>
      <c r="S18" s="381" t="str">
        <f ca="1">IF(OR(R18="",Eingabeblatt!$H14=0),"",ROUND((R18-(T.ProdStunden.Bereich/100)*R$14/12)*1440,0)/1440)</f>
        <v/>
      </c>
      <c r="T18" s="64" t="str">
        <f ca="1">IF(T$8="","",IF(EB.Anwendung&lt;&gt;"",IF(INDEX(February!Monat.ProjekteTotal.Bereich,T$8)&lt;=0,0,INDEX(February!Monat.ProjekteTotal.Bereich,T$8)),""))</f>
        <v/>
      </c>
      <c r="U18" s="381" t="str">
        <f ca="1">IF(OR(T18="",Eingabeblatt!$H14=0),"",ROUND((T18-(T.ProdStunden.Bereich/100)*T$14/12)*1440,0)/1440)</f>
        <v/>
      </c>
      <c r="V18" s="64" t="str">
        <f ca="1">IF(V$8="","",IF(EB.Anwendung&lt;&gt;"",IF(INDEX(February!Monat.ProjekteTotal.Bereich,V$8)&lt;=0,0,INDEX(February!Monat.ProjekteTotal.Bereich,V$8)),""))</f>
        <v/>
      </c>
      <c r="W18" s="381" t="str">
        <f ca="1">IF(OR(V18="",Eingabeblatt!$H14=0),"",ROUND((V18-(T.ProdStunden.Bereich/100)*V$14/12)*1440,0)/1440)</f>
        <v/>
      </c>
      <c r="X18" s="64" t="str">
        <f ca="1">IF(X$8="","",IF(EB.Anwendung&lt;&gt;"",IF(INDEX(February!Monat.ProjekteTotal.Bereich,X$8)&lt;=0,0,INDEX(February!Monat.ProjekteTotal.Bereich,X$8)),""))</f>
        <v/>
      </c>
      <c r="Y18" s="381" t="str">
        <f ca="1">IF(OR(X18="",Eingabeblatt!$H14=0),"",ROUND((X18-(T.ProdStunden.Bereich/100)*X$14/12)*1440,0)/1440)</f>
        <v/>
      </c>
      <c r="Z18" s="64" t="str">
        <f ca="1">IF(Z$8="","",IF(EB.Anwendung&lt;&gt;"",IF(INDEX(February!Monat.ProjekteTotal.Bereich,Z$8)&lt;=0,0,INDEX(February!Monat.ProjekteTotal.Bereich,Z$8)),""))</f>
        <v/>
      </c>
      <c r="AA18" s="381" t="str">
        <f ca="1">IF(OR(Z18="",Eingabeblatt!$H14=0),"",ROUND((Z18-(T.ProdStunden.Bereich/100)*Z$14/12)*1440,0)/1440)</f>
        <v/>
      </c>
      <c r="AB18" s="64" t="str">
        <f ca="1">IF(AB$8="","",IF(EB.Anwendung&lt;&gt;"",IF(INDEX(February!Monat.ProjekteTotal.Bereich,AB$8)&lt;=0,0,INDEX(February!Monat.ProjekteTotal.Bereich,AB$8)),""))</f>
        <v/>
      </c>
      <c r="AC18" s="381" t="str">
        <f ca="1">IF(OR(AB18="",Eingabeblatt!$H14=0),"",ROUND((AB18-(T.ProdStunden.Bereich/100)*AB$14/12)*1440,0)/1440)</f>
        <v/>
      </c>
      <c r="AD18" s="64" t="str">
        <f ca="1">IF(AD$8="","",IF(EB.Anwendung&lt;&gt;"",IF(INDEX(February!Monat.ProjekteTotal.Bereich,AD$8)&lt;=0,0,INDEX(February!Monat.ProjekteTotal.Bereich,AD$8)),""))</f>
        <v/>
      </c>
      <c r="AE18" s="381" t="str">
        <f ca="1">IF(OR(AD18="",Eingabeblatt!$H14=0),"",ROUND((AD18-(T.ProdStunden.Bereich/100)*AD$14/12)*1440,0)/1440)</f>
        <v/>
      </c>
      <c r="AF18" s="366"/>
      <c r="AG18" s="382">
        <f t="shared" ca="1" si="0"/>
        <v>0</v>
      </c>
      <c r="AH18" s="364"/>
    </row>
    <row r="19" spans="1:34" s="4" customFormat="1" ht="15" customHeight="1" x14ac:dyDescent="0.2">
      <c r="A19" s="380" t="str">
        <f>INDEX(EB.Monate.Bereich,3,0)</f>
        <v>March</v>
      </c>
      <c r="B19" s="64" t="str">
        <f ca="1">IF(B$8="","",IF(EB.Anwendung&lt;&gt;"",IF(INDEX(March!Monat.ProjekteTotal.Bereich,B$8)&lt;=0,0,INDEX(March!Monat.ProjekteTotal.Bereich,B$8)),""))</f>
        <v/>
      </c>
      <c r="C19" s="381" t="str">
        <f ca="1">IF(OR(B19="",Eingabeblatt!$H15=0),"",ROUND((B19-(T.ProdStunden.Bereich/100)*B$14/12)*1440,0)/1440)</f>
        <v/>
      </c>
      <c r="D19" s="64" t="str">
        <f ca="1">IF(D$8="","",IF(EB.Anwendung&lt;&gt;"",IF(INDEX(March!Monat.ProjekteTotal.Bereich,D$8)&lt;=0,0,INDEX(March!Monat.ProjekteTotal.Bereich,D$8)),""))</f>
        <v/>
      </c>
      <c r="E19" s="381" t="str">
        <f ca="1">IF(OR(D19="",Eingabeblatt!$H15=0),"",ROUND((D19-(T.ProdStunden.Bereich/100)*D$14/12)*1440,0)/1440)</f>
        <v/>
      </c>
      <c r="F19" s="64" t="str">
        <f ca="1">IF(F$8="","",IF(EB.Anwendung&lt;&gt;"",IF(INDEX(March!Monat.ProjekteTotal.Bereich,F$8)&lt;=0,0,INDEX(March!Monat.ProjekteTotal.Bereich,F$8)),""))</f>
        <v/>
      </c>
      <c r="G19" s="381" t="str">
        <f ca="1">IF(OR(F19="",Eingabeblatt!$H15=0),"",ROUND((F19-(T.ProdStunden.Bereich/100)*F$14/12)*1440,0)/1440)</f>
        <v/>
      </c>
      <c r="H19" s="64" t="str">
        <f ca="1">IF(H$8="","",IF(EB.Anwendung&lt;&gt;"",IF(INDEX(March!Monat.ProjekteTotal.Bereich,H$8)&lt;=0,0,INDEX(March!Monat.ProjekteTotal.Bereich,H$8)),""))</f>
        <v/>
      </c>
      <c r="I19" s="381" t="str">
        <f ca="1">IF(OR(H19="",Eingabeblatt!$H15=0),"",ROUND((H19-(T.ProdStunden.Bereich/100)*H$14/12)*1440,0)/1440)</f>
        <v/>
      </c>
      <c r="J19" s="64" t="str">
        <f ca="1">IF(J$8="","",IF(EB.Anwendung&lt;&gt;"",IF(INDEX(March!Monat.ProjekteTotal.Bereich,J$8)&lt;=0,0,INDEX(March!Monat.ProjekteTotal.Bereich,J$8)),""))</f>
        <v/>
      </c>
      <c r="K19" s="381" t="str">
        <f ca="1">IF(OR(J19="",Eingabeblatt!$H15=0),"",ROUND((J19-(T.ProdStunden.Bereich/100)*J$14/12)*1440,0)/1440)</f>
        <v/>
      </c>
      <c r="L19" s="64" t="str">
        <f ca="1">IF(L$8="","",IF(EB.Anwendung&lt;&gt;"",IF(INDEX(March!Monat.ProjekteTotal.Bereich,L$8)&lt;=0,0,INDEX(March!Monat.ProjekteTotal.Bereich,L$8)),""))</f>
        <v/>
      </c>
      <c r="M19" s="381" t="str">
        <f ca="1">IF(OR(L19="",Eingabeblatt!$H15=0),"",ROUND((L19-(T.ProdStunden.Bereich/100)*L$14/12)*1440,0)/1440)</f>
        <v/>
      </c>
      <c r="N19" s="64" t="str">
        <f ca="1">IF(N$8="","",IF(EB.Anwendung&lt;&gt;"",IF(INDEX(March!Monat.ProjekteTotal.Bereich,N$8)&lt;=0,0,INDEX(March!Monat.ProjekteTotal.Bereich,N$8)),""))</f>
        <v/>
      </c>
      <c r="O19" s="381" t="str">
        <f ca="1">IF(OR(N19="",Eingabeblatt!$H15=0),"",ROUND((N19-(T.ProdStunden.Bereich/100)*N$14/12)*1440,0)/1440)</f>
        <v/>
      </c>
      <c r="P19" s="64" t="str">
        <f ca="1">IF(P$8="","",IF(EB.Anwendung&lt;&gt;"",IF(INDEX(March!Monat.ProjekteTotal.Bereich,P$8)&lt;=0,0,INDEX(March!Monat.ProjekteTotal.Bereich,P$8)),""))</f>
        <v/>
      </c>
      <c r="Q19" s="381" t="str">
        <f ca="1">IF(OR(P19="",Eingabeblatt!$H15=0),"",ROUND((P19-(T.ProdStunden.Bereich/100)*P$14/12)*1440,0)/1440)</f>
        <v/>
      </c>
      <c r="R19" s="64" t="str">
        <f ca="1">IF(R$8="","",IF(EB.Anwendung&lt;&gt;"",IF(INDEX(March!Monat.ProjekteTotal.Bereich,R$8)&lt;=0,0,INDEX(March!Monat.ProjekteTotal.Bereich,R$8)),""))</f>
        <v/>
      </c>
      <c r="S19" s="381" t="str">
        <f ca="1">IF(OR(R19="",Eingabeblatt!$H15=0),"",ROUND((R19-(T.ProdStunden.Bereich/100)*R$14/12)*1440,0)/1440)</f>
        <v/>
      </c>
      <c r="T19" s="64" t="str">
        <f ca="1">IF(T$8="","",IF(EB.Anwendung&lt;&gt;"",IF(INDEX(March!Monat.ProjekteTotal.Bereich,T$8)&lt;=0,0,INDEX(March!Monat.ProjekteTotal.Bereich,T$8)),""))</f>
        <v/>
      </c>
      <c r="U19" s="381" t="str">
        <f ca="1">IF(OR(T19="",Eingabeblatt!$H15=0),"",ROUND((T19-(T.ProdStunden.Bereich/100)*T$14/12)*1440,0)/1440)</f>
        <v/>
      </c>
      <c r="V19" s="64" t="str">
        <f ca="1">IF(V$8="","",IF(EB.Anwendung&lt;&gt;"",IF(INDEX(March!Monat.ProjekteTotal.Bereich,V$8)&lt;=0,0,INDEX(March!Monat.ProjekteTotal.Bereich,V$8)),""))</f>
        <v/>
      </c>
      <c r="W19" s="381" t="str">
        <f ca="1">IF(OR(V19="",Eingabeblatt!$H15=0),"",ROUND((V19-(T.ProdStunden.Bereich/100)*V$14/12)*1440,0)/1440)</f>
        <v/>
      </c>
      <c r="X19" s="64" t="str">
        <f ca="1">IF(X$8="","",IF(EB.Anwendung&lt;&gt;"",IF(INDEX(March!Monat.ProjekteTotal.Bereich,X$8)&lt;=0,0,INDEX(March!Monat.ProjekteTotal.Bereich,X$8)),""))</f>
        <v/>
      </c>
      <c r="Y19" s="381" t="str">
        <f ca="1">IF(OR(X19="",Eingabeblatt!$H15=0),"",ROUND((X19-(T.ProdStunden.Bereich/100)*X$14/12)*1440,0)/1440)</f>
        <v/>
      </c>
      <c r="Z19" s="64" t="str">
        <f ca="1">IF(Z$8="","",IF(EB.Anwendung&lt;&gt;"",IF(INDEX(March!Monat.ProjekteTotal.Bereich,Z$8)&lt;=0,0,INDEX(March!Monat.ProjekteTotal.Bereich,Z$8)),""))</f>
        <v/>
      </c>
      <c r="AA19" s="381" t="str">
        <f ca="1">IF(OR(Z19="",Eingabeblatt!$H15=0),"",ROUND((Z19-(T.ProdStunden.Bereich/100)*Z$14/12)*1440,0)/1440)</f>
        <v/>
      </c>
      <c r="AB19" s="64" t="str">
        <f ca="1">IF(AB$8="","",IF(EB.Anwendung&lt;&gt;"",IF(INDEX(March!Monat.ProjekteTotal.Bereich,AB$8)&lt;=0,0,INDEX(March!Monat.ProjekteTotal.Bereich,AB$8)),""))</f>
        <v/>
      </c>
      <c r="AC19" s="381" t="str">
        <f ca="1">IF(OR(AB19="",Eingabeblatt!$H15=0),"",ROUND((AB19-(T.ProdStunden.Bereich/100)*AB$14/12)*1440,0)/1440)</f>
        <v/>
      </c>
      <c r="AD19" s="64" t="str">
        <f ca="1">IF(AD$8="","",IF(EB.Anwendung&lt;&gt;"",IF(INDEX(March!Monat.ProjekteTotal.Bereich,AD$8)&lt;=0,0,INDEX(March!Monat.ProjekteTotal.Bereich,AD$8)),""))</f>
        <v/>
      </c>
      <c r="AE19" s="381" t="str">
        <f ca="1">IF(OR(AD19="",Eingabeblatt!$H15=0),"",ROUND((AD19-(T.ProdStunden.Bereich/100)*AD$14/12)*1440,0)/1440)</f>
        <v/>
      </c>
      <c r="AF19" s="366"/>
      <c r="AG19" s="382">
        <f t="shared" ca="1" si="0"/>
        <v>0</v>
      </c>
      <c r="AH19" s="364"/>
    </row>
    <row r="20" spans="1:34" s="4" customFormat="1" ht="15" customHeight="1" x14ac:dyDescent="0.2">
      <c r="A20" s="380" t="str">
        <f>INDEX(EB.Monate.Bereich,4,0)</f>
        <v>April</v>
      </c>
      <c r="B20" s="64" t="str">
        <f ca="1">IF(B$8="","",IF(EB.Anwendung&lt;&gt;"",IF(INDEX(April!Monat.ProjekteTotal.Bereich,B$8)&lt;=0,0,INDEX(April!Monat.ProjekteTotal.Bereich,B$8)),""))</f>
        <v/>
      </c>
      <c r="C20" s="381" t="str">
        <f ca="1">IF(OR(B20="",Eingabeblatt!$H16=0),"",ROUND((B20-(T.ProdStunden.Bereich/100)*B$14/12)*1440,0)/1440)</f>
        <v/>
      </c>
      <c r="D20" s="64" t="str">
        <f ca="1">IF(D$8="","",IF(EB.Anwendung&lt;&gt;"",IF(INDEX(April!Monat.ProjekteTotal.Bereich,D$8)&lt;=0,0,INDEX(April!Monat.ProjekteTotal.Bereich,D$8)),""))</f>
        <v/>
      </c>
      <c r="E20" s="381" t="str">
        <f ca="1">IF(OR(D20="",Eingabeblatt!$H16=0),"",ROUND((D20-(T.ProdStunden.Bereich/100)*D$14/12)*1440,0)/1440)</f>
        <v/>
      </c>
      <c r="F20" s="64" t="str">
        <f ca="1">IF(F$8="","",IF(EB.Anwendung&lt;&gt;"",IF(INDEX(April!Monat.ProjekteTotal.Bereich,F$8)&lt;=0,0,INDEX(April!Monat.ProjekteTotal.Bereich,F$8)),""))</f>
        <v/>
      </c>
      <c r="G20" s="381" t="str">
        <f ca="1">IF(OR(F20="",Eingabeblatt!$H16=0),"",ROUND((F20-(T.ProdStunden.Bereich/100)*F$14/12)*1440,0)/1440)</f>
        <v/>
      </c>
      <c r="H20" s="64" t="str">
        <f ca="1">IF(H$8="","",IF(EB.Anwendung&lt;&gt;"",IF(INDEX(April!Monat.ProjekteTotal.Bereich,H$8)&lt;=0,0,INDEX(April!Monat.ProjekteTotal.Bereich,H$8)),""))</f>
        <v/>
      </c>
      <c r="I20" s="381" t="str">
        <f ca="1">IF(OR(H20="",Eingabeblatt!$H16=0),"",ROUND((H20-(T.ProdStunden.Bereich/100)*H$14/12)*1440,0)/1440)</f>
        <v/>
      </c>
      <c r="J20" s="64" t="str">
        <f ca="1">IF(J$8="","",IF(EB.Anwendung&lt;&gt;"",IF(INDEX(April!Monat.ProjekteTotal.Bereich,J$8)&lt;=0,0,INDEX(April!Monat.ProjekteTotal.Bereich,J$8)),""))</f>
        <v/>
      </c>
      <c r="K20" s="381" t="str">
        <f ca="1">IF(OR(J20="",Eingabeblatt!$H16=0),"",ROUND((J20-(T.ProdStunden.Bereich/100)*J$14/12)*1440,0)/1440)</f>
        <v/>
      </c>
      <c r="L20" s="64" t="str">
        <f ca="1">IF(L$8="","",IF(EB.Anwendung&lt;&gt;"",IF(INDEX(April!Monat.ProjekteTotal.Bereich,L$8)&lt;=0,0,INDEX(April!Monat.ProjekteTotal.Bereich,L$8)),""))</f>
        <v/>
      </c>
      <c r="M20" s="381" t="str">
        <f ca="1">IF(OR(L20="",Eingabeblatt!$H16=0),"",ROUND((L20-(T.ProdStunden.Bereich/100)*L$14/12)*1440,0)/1440)</f>
        <v/>
      </c>
      <c r="N20" s="64" t="str">
        <f ca="1">IF(N$8="","",IF(EB.Anwendung&lt;&gt;"",IF(INDEX(April!Monat.ProjekteTotal.Bereich,N$8)&lt;=0,0,INDEX(April!Monat.ProjekteTotal.Bereich,N$8)),""))</f>
        <v/>
      </c>
      <c r="O20" s="381" t="str">
        <f ca="1">IF(OR(N20="",Eingabeblatt!$H16=0),"",ROUND((N20-(T.ProdStunden.Bereich/100)*N$14/12)*1440,0)/1440)</f>
        <v/>
      </c>
      <c r="P20" s="64" t="str">
        <f ca="1">IF(P$8="","",IF(EB.Anwendung&lt;&gt;"",IF(INDEX(April!Monat.ProjekteTotal.Bereich,P$8)&lt;=0,0,INDEX(April!Monat.ProjekteTotal.Bereich,P$8)),""))</f>
        <v/>
      </c>
      <c r="Q20" s="381" t="str">
        <f ca="1">IF(OR(P20="",Eingabeblatt!$H16=0),"",ROUND((P20-(T.ProdStunden.Bereich/100)*P$14/12)*1440,0)/1440)</f>
        <v/>
      </c>
      <c r="R20" s="64" t="str">
        <f ca="1">IF(R$8="","",IF(EB.Anwendung&lt;&gt;"",IF(INDEX(April!Monat.ProjekteTotal.Bereich,R$8)&lt;=0,0,INDEX(April!Monat.ProjekteTotal.Bereich,R$8)),""))</f>
        <v/>
      </c>
      <c r="S20" s="381" t="str">
        <f ca="1">IF(OR(R20="",Eingabeblatt!$H16=0),"",ROUND((R20-(T.ProdStunden.Bereich/100)*R$14/12)*1440,0)/1440)</f>
        <v/>
      </c>
      <c r="T20" s="64" t="str">
        <f ca="1">IF(T$8="","",IF(EB.Anwendung&lt;&gt;"",IF(INDEX(April!Monat.ProjekteTotal.Bereich,T$8)&lt;=0,0,INDEX(April!Monat.ProjekteTotal.Bereich,T$8)),""))</f>
        <v/>
      </c>
      <c r="U20" s="381" t="str">
        <f ca="1">IF(OR(T20="",Eingabeblatt!$H16=0),"",ROUND((T20-(T.ProdStunden.Bereich/100)*T$14/12)*1440,0)/1440)</f>
        <v/>
      </c>
      <c r="V20" s="64" t="str">
        <f ca="1">IF(V$8="","",IF(EB.Anwendung&lt;&gt;"",IF(INDEX(April!Monat.ProjekteTotal.Bereich,V$8)&lt;=0,0,INDEX(April!Monat.ProjekteTotal.Bereich,V$8)),""))</f>
        <v/>
      </c>
      <c r="W20" s="381" t="str">
        <f ca="1">IF(OR(V20="",Eingabeblatt!$H16=0),"",ROUND((V20-(T.ProdStunden.Bereich/100)*V$14/12)*1440,0)/1440)</f>
        <v/>
      </c>
      <c r="X20" s="64" t="str">
        <f ca="1">IF(X$8="","",IF(EB.Anwendung&lt;&gt;"",IF(INDEX(April!Monat.ProjekteTotal.Bereich,X$8)&lt;=0,0,INDEX(April!Monat.ProjekteTotal.Bereich,X$8)),""))</f>
        <v/>
      </c>
      <c r="Y20" s="381" t="str">
        <f ca="1">IF(OR(X20="",Eingabeblatt!$H16=0),"",ROUND((X20-(T.ProdStunden.Bereich/100)*X$14/12)*1440,0)/1440)</f>
        <v/>
      </c>
      <c r="Z20" s="64" t="str">
        <f ca="1">IF(Z$8="","",IF(EB.Anwendung&lt;&gt;"",IF(INDEX(April!Monat.ProjekteTotal.Bereich,Z$8)&lt;=0,0,INDEX(April!Monat.ProjekteTotal.Bereich,Z$8)),""))</f>
        <v/>
      </c>
      <c r="AA20" s="381" t="str">
        <f ca="1">IF(OR(Z20="",Eingabeblatt!$H16=0),"",ROUND((Z20-(T.ProdStunden.Bereich/100)*Z$14/12)*1440,0)/1440)</f>
        <v/>
      </c>
      <c r="AB20" s="64" t="str">
        <f ca="1">IF(AB$8="","",IF(EB.Anwendung&lt;&gt;"",IF(INDEX(April!Monat.ProjekteTotal.Bereich,AB$8)&lt;=0,0,INDEX(April!Monat.ProjekteTotal.Bereich,AB$8)),""))</f>
        <v/>
      </c>
      <c r="AC20" s="381" t="str">
        <f ca="1">IF(OR(AB20="",Eingabeblatt!$H16=0),"",ROUND((AB20-(T.ProdStunden.Bereich/100)*AB$14/12)*1440,0)/1440)</f>
        <v/>
      </c>
      <c r="AD20" s="64" t="str">
        <f ca="1">IF(AD$8="","",IF(EB.Anwendung&lt;&gt;"",IF(INDEX(April!Monat.ProjekteTotal.Bereich,AD$8)&lt;=0,0,INDEX(April!Monat.ProjekteTotal.Bereich,AD$8)),""))</f>
        <v/>
      </c>
      <c r="AE20" s="381" t="str">
        <f ca="1">IF(OR(AD20="",Eingabeblatt!$H16=0),"",ROUND((AD20-(T.ProdStunden.Bereich/100)*AD$14/12)*1440,0)/1440)</f>
        <v/>
      </c>
      <c r="AF20" s="366"/>
      <c r="AG20" s="382">
        <f t="shared" ca="1" si="0"/>
        <v>0</v>
      </c>
      <c r="AH20" s="364"/>
    </row>
    <row r="21" spans="1:34" s="4" customFormat="1" ht="15" customHeight="1" x14ac:dyDescent="0.2">
      <c r="A21" s="380" t="str">
        <f>INDEX(EB.Monate.Bereich,5,0)</f>
        <v>May</v>
      </c>
      <c r="B21" s="64" t="str">
        <f ca="1">IF(B$8="","",IF(EB.Anwendung&lt;&gt;"",IF(INDEX(May!Monat.ProjekteTotal.Bereich,B$8)&lt;=0,0,INDEX(May!Monat.ProjekteTotal.Bereich,B$8)),""))</f>
        <v/>
      </c>
      <c r="C21" s="381" t="str">
        <f ca="1">IF(OR(B21="",Eingabeblatt!$H17=0),"",ROUND((B21-(T.ProdStunden.Bereich/100)*B$14/12)*1440,0)/1440)</f>
        <v/>
      </c>
      <c r="D21" s="64" t="str">
        <f ca="1">IF(D$8="","",IF(EB.Anwendung&lt;&gt;"",IF(INDEX(May!Monat.ProjekteTotal.Bereich,D$8)&lt;=0,0,INDEX(May!Monat.ProjekteTotal.Bereich,D$8)),""))</f>
        <v/>
      </c>
      <c r="E21" s="381" t="str">
        <f ca="1">IF(OR(D21="",Eingabeblatt!$H17=0),"",ROUND((D21-(T.ProdStunden.Bereich/100)*D$14/12)*1440,0)/1440)</f>
        <v/>
      </c>
      <c r="F21" s="64" t="str">
        <f ca="1">IF(F$8="","",IF(EB.Anwendung&lt;&gt;"",IF(INDEX(May!Monat.ProjekteTotal.Bereich,F$8)&lt;=0,0,INDEX(May!Monat.ProjekteTotal.Bereich,F$8)),""))</f>
        <v/>
      </c>
      <c r="G21" s="381" t="str">
        <f ca="1">IF(OR(F21="",Eingabeblatt!$H17=0),"",ROUND((F21-(T.ProdStunden.Bereich/100)*F$14/12)*1440,0)/1440)</f>
        <v/>
      </c>
      <c r="H21" s="64" t="str">
        <f ca="1">IF(H$8="","",IF(EB.Anwendung&lt;&gt;"",IF(INDEX(May!Monat.ProjekteTotal.Bereich,H$8)&lt;=0,0,INDEX(May!Monat.ProjekteTotal.Bereich,H$8)),""))</f>
        <v/>
      </c>
      <c r="I21" s="381" t="str">
        <f ca="1">IF(OR(H21="",Eingabeblatt!$H17=0),"",ROUND((H21-(T.ProdStunden.Bereich/100)*H$14/12)*1440,0)/1440)</f>
        <v/>
      </c>
      <c r="J21" s="64" t="str">
        <f ca="1">IF(J$8="","",IF(EB.Anwendung&lt;&gt;"",IF(INDEX(May!Monat.ProjekteTotal.Bereich,J$8)&lt;=0,0,INDEX(May!Monat.ProjekteTotal.Bereich,J$8)),""))</f>
        <v/>
      </c>
      <c r="K21" s="381" t="str">
        <f ca="1">IF(OR(J21="",Eingabeblatt!$H17=0),"",ROUND((J21-(T.ProdStunden.Bereich/100)*J$14/12)*1440,0)/1440)</f>
        <v/>
      </c>
      <c r="L21" s="64" t="str">
        <f ca="1">IF(L$8="","",IF(EB.Anwendung&lt;&gt;"",IF(INDEX(May!Monat.ProjekteTotal.Bereich,L$8)&lt;=0,0,INDEX(May!Monat.ProjekteTotal.Bereich,L$8)),""))</f>
        <v/>
      </c>
      <c r="M21" s="381" t="str">
        <f ca="1">IF(OR(L21="",Eingabeblatt!$H17=0),"",ROUND((L21-(T.ProdStunden.Bereich/100)*L$14/12)*1440,0)/1440)</f>
        <v/>
      </c>
      <c r="N21" s="64" t="str">
        <f ca="1">IF(N$8="","",IF(EB.Anwendung&lt;&gt;"",IF(INDEX(May!Monat.ProjekteTotal.Bereich,N$8)&lt;=0,0,INDEX(May!Monat.ProjekteTotal.Bereich,N$8)),""))</f>
        <v/>
      </c>
      <c r="O21" s="381" t="str">
        <f ca="1">IF(OR(N21="",Eingabeblatt!$H17=0),"",ROUND((N21-(T.ProdStunden.Bereich/100)*N$14/12)*1440,0)/1440)</f>
        <v/>
      </c>
      <c r="P21" s="64" t="str">
        <f ca="1">IF(P$8="","",IF(EB.Anwendung&lt;&gt;"",IF(INDEX(May!Monat.ProjekteTotal.Bereich,P$8)&lt;=0,0,INDEX(May!Monat.ProjekteTotal.Bereich,P$8)),""))</f>
        <v/>
      </c>
      <c r="Q21" s="381" t="str">
        <f ca="1">IF(OR(P21="",Eingabeblatt!$H17=0),"",ROUND((P21-(T.ProdStunden.Bereich/100)*P$14/12)*1440,0)/1440)</f>
        <v/>
      </c>
      <c r="R21" s="64" t="str">
        <f ca="1">IF(R$8="","",IF(EB.Anwendung&lt;&gt;"",IF(INDEX(May!Monat.ProjekteTotal.Bereich,R$8)&lt;=0,0,INDEX(May!Monat.ProjekteTotal.Bereich,R$8)),""))</f>
        <v/>
      </c>
      <c r="S21" s="381" t="str">
        <f ca="1">IF(OR(R21="",Eingabeblatt!$H17=0),"",ROUND((R21-(T.ProdStunden.Bereich/100)*R$14/12)*1440,0)/1440)</f>
        <v/>
      </c>
      <c r="T21" s="64" t="str">
        <f ca="1">IF(T$8="","",IF(EB.Anwendung&lt;&gt;"",IF(INDEX(May!Monat.ProjekteTotal.Bereich,T$8)&lt;=0,0,INDEX(May!Monat.ProjekteTotal.Bereich,T$8)),""))</f>
        <v/>
      </c>
      <c r="U21" s="381" t="str">
        <f ca="1">IF(OR(T21="",Eingabeblatt!$H17=0),"",ROUND((T21-(T.ProdStunden.Bereich/100)*T$14/12)*1440,0)/1440)</f>
        <v/>
      </c>
      <c r="V21" s="64" t="str">
        <f ca="1">IF(V$8="","",IF(EB.Anwendung&lt;&gt;"",IF(INDEX(May!Monat.ProjekteTotal.Bereich,V$8)&lt;=0,0,INDEX(May!Monat.ProjekteTotal.Bereich,V$8)),""))</f>
        <v/>
      </c>
      <c r="W21" s="381" t="str">
        <f ca="1">IF(OR(V21="",Eingabeblatt!$H17=0),"",ROUND((V21-(T.ProdStunden.Bereich/100)*V$14/12)*1440,0)/1440)</f>
        <v/>
      </c>
      <c r="X21" s="64" t="str">
        <f ca="1">IF(X$8="","",IF(EB.Anwendung&lt;&gt;"",IF(INDEX(May!Monat.ProjekteTotal.Bereich,X$8)&lt;=0,0,INDEX(May!Monat.ProjekteTotal.Bereich,X$8)),""))</f>
        <v/>
      </c>
      <c r="Y21" s="381" t="str">
        <f ca="1">IF(OR(X21="",Eingabeblatt!$H17=0),"",ROUND((X21-(T.ProdStunden.Bereich/100)*X$14/12)*1440,0)/1440)</f>
        <v/>
      </c>
      <c r="Z21" s="64" t="str">
        <f ca="1">IF(Z$8="","",IF(EB.Anwendung&lt;&gt;"",IF(INDEX(May!Monat.ProjekteTotal.Bereich,Z$8)&lt;=0,0,INDEX(May!Monat.ProjekteTotal.Bereich,Z$8)),""))</f>
        <v/>
      </c>
      <c r="AA21" s="381" t="str">
        <f ca="1">IF(OR(Z21="",Eingabeblatt!$H17=0),"",ROUND((Z21-(T.ProdStunden.Bereich/100)*Z$14/12)*1440,0)/1440)</f>
        <v/>
      </c>
      <c r="AB21" s="64" t="str">
        <f ca="1">IF(AB$8="","",IF(EB.Anwendung&lt;&gt;"",IF(INDEX(May!Monat.ProjekteTotal.Bereich,AB$8)&lt;=0,0,INDEX(May!Monat.ProjekteTotal.Bereich,AB$8)),""))</f>
        <v/>
      </c>
      <c r="AC21" s="381" t="str">
        <f ca="1">IF(OR(AB21="",Eingabeblatt!$H17=0),"",ROUND((AB21-(T.ProdStunden.Bereich/100)*AB$14/12)*1440,0)/1440)</f>
        <v/>
      </c>
      <c r="AD21" s="64" t="str">
        <f ca="1">IF(AD$8="","",IF(EB.Anwendung&lt;&gt;"",IF(INDEX(May!Monat.ProjekteTotal.Bereich,AD$8)&lt;=0,0,INDEX(May!Monat.ProjekteTotal.Bereich,AD$8)),""))</f>
        <v/>
      </c>
      <c r="AE21" s="381" t="str">
        <f ca="1">IF(OR(AD21="",Eingabeblatt!$H17=0),"",ROUND((AD21-(T.ProdStunden.Bereich/100)*AD$14/12)*1440,0)/1440)</f>
        <v/>
      </c>
      <c r="AF21" s="366"/>
      <c r="AG21" s="382">
        <f t="shared" ca="1" si="0"/>
        <v>0</v>
      </c>
      <c r="AH21" s="364"/>
    </row>
    <row r="22" spans="1:34" s="4" customFormat="1" ht="15" customHeight="1" x14ac:dyDescent="0.2">
      <c r="A22" s="380" t="str">
        <f>INDEX(EB.Monate.Bereich,6,0)</f>
        <v>June</v>
      </c>
      <c r="B22" s="64" t="str">
        <f ca="1">IF(B$8="","",IF(EB.Anwendung&lt;&gt;"",IF(INDEX(June!Monat.ProjekteTotal.Bereich,B$8)&lt;=0,0,INDEX(June!Monat.ProjekteTotal.Bereich,B$8)),""))</f>
        <v/>
      </c>
      <c r="C22" s="381" t="str">
        <f ca="1">IF(OR(B22="",Eingabeblatt!$H18=0),"",ROUND((B22-(T.ProdStunden.Bereich/100)*B$14/12)*1440,0)/1440)</f>
        <v/>
      </c>
      <c r="D22" s="64" t="str">
        <f ca="1">IF(D$8="","",IF(EB.Anwendung&lt;&gt;"",IF(INDEX(June!Monat.ProjekteTotal.Bereich,D$8)&lt;=0,0,INDEX(June!Monat.ProjekteTotal.Bereich,D$8)),""))</f>
        <v/>
      </c>
      <c r="E22" s="381" t="str">
        <f ca="1">IF(OR(D22="",Eingabeblatt!$H18=0),"",ROUND((D22-(T.ProdStunden.Bereich/100)*D$14/12)*1440,0)/1440)</f>
        <v/>
      </c>
      <c r="F22" s="64" t="str">
        <f ca="1">IF(F$8="","",IF(EB.Anwendung&lt;&gt;"",IF(INDEX(June!Monat.ProjekteTotal.Bereich,F$8)&lt;=0,0,INDEX(June!Monat.ProjekteTotal.Bereich,F$8)),""))</f>
        <v/>
      </c>
      <c r="G22" s="381" t="str">
        <f ca="1">IF(OR(F22="",Eingabeblatt!$H18=0),"",ROUND((F22-(T.ProdStunden.Bereich/100)*F$14/12)*1440,0)/1440)</f>
        <v/>
      </c>
      <c r="H22" s="64" t="str">
        <f ca="1">IF(H$8="","",IF(EB.Anwendung&lt;&gt;"",IF(INDEX(June!Monat.ProjekteTotal.Bereich,H$8)&lt;=0,0,INDEX(June!Monat.ProjekteTotal.Bereich,H$8)),""))</f>
        <v/>
      </c>
      <c r="I22" s="381" t="str">
        <f ca="1">IF(OR(H22="",Eingabeblatt!$H18=0),"",ROUND((H22-(T.ProdStunden.Bereich/100)*H$14/12)*1440,0)/1440)</f>
        <v/>
      </c>
      <c r="J22" s="64" t="str">
        <f ca="1">IF(J$8="","",IF(EB.Anwendung&lt;&gt;"",IF(INDEX(June!Monat.ProjekteTotal.Bereich,J$8)&lt;=0,0,INDEX(June!Monat.ProjekteTotal.Bereich,J$8)),""))</f>
        <v/>
      </c>
      <c r="K22" s="381" t="str">
        <f ca="1">IF(OR(J22="",Eingabeblatt!$H18=0),"",ROUND((J22-(T.ProdStunden.Bereich/100)*J$14/12)*1440,0)/1440)</f>
        <v/>
      </c>
      <c r="L22" s="64" t="str">
        <f ca="1">IF(L$8="","",IF(EB.Anwendung&lt;&gt;"",IF(INDEX(June!Monat.ProjekteTotal.Bereich,L$8)&lt;=0,0,INDEX(June!Monat.ProjekteTotal.Bereich,L$8)),""))</f>
        <v/>
      </c>
      <c r="M22" s="381" t="str">
        <f ca="1">IF(OR(L22="",Eingabeblatt!$H18=0),"",ROUND((L22-(T.ProdStunden.Bereich/100)*L$14/12)*1440,0)/1440)</f>
        <v/>
      </c>
      <c r="N22" s="64" t="str">
        <f ca="1">IF(N$8="","",IF(EB.Anwendung&lt;&gt;"",IF(INDEX(June!Monat.ProjekteTotal.Bereich,N$8)&lt;=0,0,INDEX(June!Monat.ProjekteTotal.Bereich,N$8)),""))</f>
        <v/>
      </c>
      <c r="O22" s="381" t="str">
        <f ca="1">IF(OR(N22="",Eingabeblatt!$H18=0),"",ROUND((N22-(T.ProdStunden.Bereich/100)*N$14/12)*1440,0)/1440)</f>
        <v/>
      </c>
      <c r="P22" s="64" t="str">
        <f ca="1">IF(P$8="","",IF(EB.Anwendung&lt;&gt;"",IF(INDEX(June!Monat.ProjekteTotal.Bereich,P$8)&lt;=0,0,INDEX(June!Monat.ProjekteTotal.Bereich,P$8)),""))</f>
        <v/>
      </c>
      <c r="Q22" s="381" t="str">
        <f ca="1">IF(OR(P22="",Eingabeblatt!$H18=0),"",ROUND((P22-(T.ProdStunden.Bereich/100)*P$14/12)*1440,0)/1440)</f>
        <v/>
      </c>
      <c r="R22" s="64" t="str">
        <f ca="1">IF(R$8="","",IF(EB.Anwendung&lt;&gt;"",IF(INDEX(June!Monat.ProjekteTotal.Bereich,R$8)&lt;=0,0,INDEX(June!Monat.ProjekteTotal.Bereich,R$8)),""))</f>
        <v/>
      </c>
      <c r="S22" s="381" t="str">
        <f ca="1">IF(OR(R22="",Eingabeblatt!$H18=0),"",ROUND((R22-(T.ProdStunden.Bereich/100)*R$14/12)*1440,0)/1440)</f>
        <v/>
      </c>
      <c r="T22" s="64" t="str">
        <f ca="1">IF(T$8="","",IF(EB.Anwendung&lt;&gt;"",IF(INDEX(June!Monat.ProjekteTotal.Bereich,T$8)&lt;=0,0,INDEX(June!Monat.ProjekteTotal.Bereich,T$8)),""))</f>
        <v/>
      </c>
      <c r="U22" s="381" t="str">
        <f ca="1">IF(OR(T22="",Eingabeblatt!$H18=0),"",ROUND((T22-(T.ProdStunden.Bereich/100)*T$14/12)*1440,0)/1440)</f>
        <v/>
      </c>
      <c r="V22" s="64" t="str">
        <f ca="1">IF(V$8="","",IF(EB.Anwendung&lt;&gt;"",IF(INDEX(June!Monat.ProjekteTotal.Bereich,V$8)&lt;=0,0,INDEX(June!Monat.ProjekteTotal.Bereich,V$8)),""))</f>
        <v/>
      </c>
      <c r="W22" s="381" t="str">
        <f ca="1">IF(OR(V22="",Eingabeblatt!$H18=0),"",ROUND((V22-(T.ProdStunden.Bereich/100)*V$14/12)*1440,0)/1440)</f>
        <v/>
      </c>
      <c r="X22" s="64" t="str">
        <f ca="1">IF(X$8="","",IF(EB.Anwendung&lt;&gt;"",IF(INDEX(June!Monat.ProjekteTotal.Bereich,X$8)&lt;=0,0,INDEX(June!Monat.ProjekteTotal.Bereich,X$8)),""))</f>
        <v/>
      </c>
      <c r="Y22" s="381" t="str">
        <f ca="1">IF(OR(X22="",Eingabeblatt!$H18=0),"",ROUND((X22-(T.ProdStunden.Bereich/100)*X$14/12)*1440,0)/1440)</f>
        <v/>
      </c>
      <c r="Z22" s="64" t="str">
        <f ca="1">IF(Z$8="","",IF(EB.Anwendung&lt;&gt;"",IF(INDEX(June!Monat.ProjekteTotal.Bereich,Z$8)&lt;=0,0,INDEX(June!Monat.ProjekteTotal.Bereich,Z$8)),""))</f>
        <v/>
      </c>
      <c r="AA22" s="381" t="str">
        <f ca="1">IF(OR(Z22="",Eingabeblatt!$H18=0),"",ROUND((Z22-(T.ProdStunden.Bereich/100)*Z$14/12)*1440,0)/1440)</f>
        <v/>
      </c>
      <c r="AB22" s="64" t="str">
        <f ca="1">IF(AB$8="","",IF(EB.Anwendung&lt;&gt;"",IF(INDEX(June!Monat.ProjekteTotal.Bereich,AB$8)&lt;=0,0,INDEX(June!Monat.ProjekteTotal.Bereich,AB$8)),""))</f>
        <v/>
      </c>
      <c r="AC22" s="381" t="str">
        <f ca="1">IF(OR(AB22="",Eingabeblatt!$H18=0),"",ROUND((AB22-(T.ProdStunden.Bereich/100)*AB$14/12)*1440,0)/1440)</f>
        <v/>
      </c>
      <c r="AD22" s="64" t="str">
        <f ca="1">IF(AD$8="","",IF(EB.Anwendung&lt;&gt;"",IF(INDEX(June!Monat.ProjekteTotal.Bereich,AD$8)&lt;=0,0,INDEX(June!Monat.ProjekteTotal.Bereich,AD$8)),""))</f>
        <v/>
      </c>
      <c r="AE22" s="381" t="str">
        <f ca="1">IF(OR(AD22="",Eingabeblatt!$H18=0),"",ROUND((AD22-(T.ProdStunden.Bereich/100)*AD$14/12)*1440,0)/1440)</f>
        <v/>
      </c>
      <c r="AF22" s="366"/>
      <c r="AG22" s="382">
        <f t="shared" ca="1" si="0"/>
        <v>0</v>
      </c>
      <c r="AH22" s="364"/>
    </row>
    <row r="23" spans="1:34" s="4" customFormat="1" ht="15" customHeight="1" x14ac:dyDescent="0.2">
      <c r="A23" s="380" t="str">
        <f>INDEX(EB.Monate.Bereich,7,0)</f>
        <v>July</v>
      </c>
      <c r="B23" s="64" t="str">
        <f ca="1">IF(B$8="","",IF(EB.Anwendung&lt;&gt;"",IF(INDEX(July!Monat.ProjekteTotal.Bereich,B$8)&lt;=0,0,INDEX(July!Monat.ProjekteTotal.Bereich,B$8)),""))</f>
        <v/>
      </c>
      <c r="C23" s="381" t="str">
        <f ca="1">IF(OR(B23="",Eingabeblatt!$H19=0),"",ROUND((B23-(T.ProdStunden.Bereich/100)*B$14/12)*1440,0)/1440)</f>
        <v/>
      </c>
      <c r="D23" s="64" t="str">
        <f ca="1">IF(D$8="","",IF(EB.Anwendung&lt;&gt;"",IF(INDEX(July!Monat.ProjekteTotal.Bereich,D$8)&lt;=0,0,INDEX(July!Monat.ProjekteTotal.Bereich,D$8)),""))</f>
        <v/>
      </c>
      <c r="E23" s="381" t="str">
        <f ca="1">IF(OR(D23="",Eingabeblatt!$H19=0),"",ROUND((D23-(T.ProdStunden.Bereich/100)*D$14/12)*1440,0)/1440)</f>
        <v/>
      </c>
      <c r="F23" s="64" t="str">
        <f ca="1">IF(F$8="","",IF(EB.Anwendung&lt;&gt;"",IF(INDEX(July!Monat.ProjekteTotal.Bereich,F$8)&lt;=0,0,INDEX(July!Monat.ProjekteTotal.Bereich,F$8)),""))</f>
        <v/>
      </c>
      <c r="G23" s="381" t="str">
        <f ca="1">IF(OR(F23="",Eingabeblatt!$H19=0),"",ROUND((F23-(T.ProdStunden.Bereich/100)*F$14/12)*1440,0)/1440)</f>
        <v/>
      </c>
      <c r="H23" s="64" t="str">
        <f ca="1">IF(H$8="","",IF(EB.Anwendung&lt;&gt;"",IF(INDEX(July!Monat.ProjekteTotal.Bereich,H$8)&lt;=0,0,INDEX(July!Monat.ProjekteTotal.Bereich,H$8)),""))</f>
        <v/>
      </c>
      <c r="I23" s="381" t="str">
        <f ca="1">IF(OR(H23="",Eingabeblatt!$H19=0),"",ROUND((H23-(T.ProdStunden.Bereich/100)*H$14/12)*1440,0)/1440)</f>
        <v/>
      </c>
      <c r="J23" s="64" t="str">
        <f ca="1">IF(J$8="","",IF(EB.Anwendung&lt;&gt;"",IF(INDEX(July!Monat.ProjekteTotal.Bereich,J$8)&lt;=0,0,INDEX(July!Monat.ProjekteTotal.Bereich,J$8)),""))</f>
        <v/>
      </c>
      <c r="K23" s="381" t="str">
        <f ca="1">IF(OR(J23="",Eingabeblatt!$H19=0),"",ROUND((J23-(T.ProdStunden.Bereich/100)*J$14/12)*1440,0)/1440)</f>
        <v/>
      </c>
      <c r="L23" s="64" t="str">
        <f ca="1">IF(L$8="","",IF(EB.Anwendung&lt;&gt;"",IF(INDEX(July!Monat.ProjekteTotal.Bereich,L$8)&lt;=0,0,INDEX(July!Monat.ProjekteTotal.Bereich,L$8)),""))</f>
        <v/>
      </c>
      <c r="M23" s="381" t="str">
        <f ca="1">IF(OR(L23="",Eingabeblatt!$H19=0),"",ROUND((L23-(T.ProdStunden.Bereich/100)*L$14/12)*1440,0)/1440)</f>
        <v/>
      </c>
      <c r="N23" s="64" t="str">
        <f ca="1">IF(N$8="","",IF(EB.Anwendung&lt;&gt;"",IF(INDEX(July!Monat.ProjekteTotal.Bereich,N$8)&lt;=0,0,INDEX(July!Monat.ProjekteTotal.Bereich,N$8)),""))</f>
        <v/>
      </c>
      <c r="O23" s="381" t="str">
        <f ca="1">IF(OR(N23="",Eingabeblatt!$H19=0),"",ROUND((N23-(T.ProdStunden.Bereich/100)*N$14/12)*1440,0)/1440)</f>
        <v/>
      </c>
      <c r="P23" s="64" t="str">
        <f ca="1">IF(P$8="","",IF(EB.Anwendung&lt;&gt;"",IF(INDEX(July!Monat.ProjekteTotal.Bereich,P$8)&lt;=0,0,INDEX(July!Monat.ProjekteTotal.Bereich,P$8)),""))</f>
        <v/>
      </c>
      <c r="Q23" s="381" t="str">
        <f ca="1">IF(OR(P23="",Eingabeblatt!$H19=0),"",ROUND((P23-(T.ProdStunden.Bereich/100)*P$14/12)*1440,0)/1440)</f>
        <v/>
      </c>
      <c r="R23" s="64" t="str">
        <f ca="1">IF(R$8="","",IF(EB.Anwendung&lt;&gt;"",IF(INDEX(July!Monat.ProjekteTotal.Bereich,R$8)&lt;=0,0,INDEX(July!Monat.ProjekteTotal.Bereich,R$8)),""))</f>
        <v/>
      </c>
      <c r="S23" s="381" t="str">
        <f ca="1">IF(OR(R23="",Eingabeblatt!$H19=0),"",ROUND((R23-(T.ProdStunden.Bereich/100)*R$14/12)*1440,0)/1440)</f>
        <v/>
      </c>
      <c r="T23" s="64" t="str">
        <f ca="1">IF(T$8="","",IF(EB.Anwendung&lt;&gt;"",IF(INDEX(July!Monat.ProjekteTotal.Bereich,T$8)&lt;=0,0,INDEX(July!Monat.ProjekteTotal.Bereich,T$8)),""))</f>
        <v/>
      </c>
      <c r="U23" s="381" t="str">
        <f ca="1">IF(OR(T23="",Eingabeblatt!$H19=0),"",ROUND((T23-(T.ProdStunden.Bereich/100)*T$14/12)*1440,0)/1440)</f>
        <v/>
      </c>
      <c r="V23" s="64" t="str">
        <f ca="1">IF(V$8="","",IF(EB.Anwendung&lt;&gt;"",IF(INDEX(July!Monat.ProjekteTotal.Bereich,V$8)&lt;=0,0,INDEX(July!Monat.ProjekteTotal.Bereich,V$8)),""))</f>
        <v/>
      </c>
      <c r="W23" s="381" t="str">
        <f ca="1">IF(OR(V23="",Eingabeblatt!$H19=0),"",ROUND((V23-(T.ProdStunden.Bereich/100)*V$14/12)*1440,0)/1440)</f>
        <v/>
      </c>
      <c r="X23" s="64" t="str">
        <f ca="1">IF(X$8="","",IF(EB.Anwendung&lt;&gt;"",IF(INDEX(July!Monat.ProjekteTotal.Bereich,X$8)&lt;=0,0,INDEX(July!Monat.ProjekteTotal.Bereich,X$8)),""))</f>
        <v/>
      </c>
      <c r="Y23" s="381" t="str">
        <f ca="1">IF(OR(X23="",Eingabeblatt!$H19=0),"",ROUND((X23-(T.ProdStunden.Bereich/100)*X$14/12)*1440,0)/1440)</f>
        <v/>
      </c>
      <c r="Z23" s="64" t="str">
        <f ca="1">IF(Z$8="","",IF(EB.Anwendung&lt;&gt;"",IF(INDEX(July!Monat.ProjekteTotal.Bereich,Z$8)&lt;=0,0,INDEX(July!Monat.ProjekteTotal.Bereich,Z$8)),""))</f>
        <v/>
      </c>
      <c r="AA23" s="381" t="str">
        <f ca="1">IF(OR(Z23="",Eingabeblatt!$H19=0),"",ROUND((Z23-(T.ProdStunden.Bereich/100)*Z$14/12)*1440,0)/1440)</f>
        <v/>
      </c>
      <c r="AB23" s="64" t="str">
        <f ca="1">IF(AB$8="","",IF(EB.Anwendung&lt;&gt;"",IF(INDEX(July!Monat.ProjekteTotal.Bereich,AB$8)&lt;=0,0,INDEX(July!Monat.ProjekteTotal.Bereich,AB$8)),""))</f>
        <v/>
      </c>
      <c r="AC23" s="381" t="str">
        <f ca="1">IF(OR(AB23="",Eingabeblatt!$H19=0),"",ROUND((AB23-(T.ProdStunden.Bereich/100)*AB$14/12)*1440,0)/1440)</f>
        <v/>
      </c>
      <c r="AD23" s="64" t="str">
        <f ca="1">IF(AD$8="","",IF(EB.Anwendung&lt;&gt;"",IF(INDEX(July!Monat.ProjekteTotal.Bereich,AD$8)&lt;=0,0,INDEX(July!Monat.ProjekteTotal.Bereich,AD$8)),""))</f>
        <v/>
      </c>
      <c r="AE23" s="381" t="str">
        <f ca="1">IF(OR(AD23="",Eingabeblatt!$H19=0),"",ROUND((AD23-(T.ProdStunden.Bereich/100)*AD$14/12)*1440,0)/1440)</f>
        <v/>
      </c>
      <c r="AF23" s="366"/>
      <c r="AG23" s="382">
        <f t="shared" ca="1" si="0"/>
        <v>0</v>
      </c>
      <c r="AH23" s="364"/>
    </row>
    <row r="24" spans="1:34" s="4" customFormat="1" ht="15" customHeight="1" x14ac:dyDescent="0.2">
      <c r="A24" s="380" t="str">
        <f>INDEX(EB.Monate.Bereich,8,0)</f>
        <v>August</v>
      </c>
      <c r="B24" s="64" t="str">
        <f ca="1">IF(B$8="","",IF(EB.Anwendung&lt;&gt;"",IF(INDEX(August!Monat.ProjekteTotal.Bereich,B$8)&lt;=0,0,INDEX(August!Monat.ProjekteTotal.Bereich,B$8)),""))</f>
        <v/>
      </c>
      <c r="C24" s="381" t="str">
        <f ca="1">IF(OR(B24="",Eingabeblatt!$H20=0),"",ROUND((B24-(T.ProdStunden.Bereich/100)*B$14/12)*1440,0)/1440)</f>
        <v/>
      </c>
      <c r="D24" s="64" t="str">
        <f ca="1">IF(D$8="","",IF(EB.Anwendung&lt;&gt;"",IF(INDEX(August!Monat.ProjekteTotal.Bereich,D$8)&lt;=0,0,INDEX(August!Monat.ProjekteTotal.Bereich,D$8)),""))</f>
        <v/>
      </c>
      <c r="E24" s="381" t="str">
        <f ca="1">IF(OR(D24="",Eingabeblatt!$H20=0),"",ROUND((D24-(T.ProdStunden.Bereich/100)*D$14/12)*1440,0)/1440)</f>
        <v/>
      </c>
      <c r="F24" s="64" t="str">
        <f ca="1">IF(F$8="","",IF(EB.Anwendung&lt;&gt;"",IF(INDEX(August!Monat.ProjekteTotal.Bereich,F$8)&lt;=0,0,INDEX(August!Monat.ProjekteTotal.Bereich,F$8)),""))</f>
        <v/>
      </c>
      <c r="G24" s="381" t="str">
        <f ca="1">IF(OR(F24="",Eingabeblatt!$H20=0),"",ROUND((F24-(T.ProdStunden.Bereich/100)*F$14/12)*1440,0)/1440)</f>
        <v/>
      </c>
      <c r="H24" s="64" t="str">
        <f ca="1">IF(H$8="","",IF(EB.Anwendung&lt;&gt;"",IF(INDEX(August!Monat.ProjekteTotal.Bereich,H$8)&lt;=0,0,INDEX(August!Monat.ProjekteTotal.Bereich,H$8)),""))</f>
        <v/>
      </c>
      <c r="I24" s="381" t="str">
        <f ca="1">IF(OR(H24="",Eingabeblatt!$H20=0),"",ROUND((H24-(T.ProdStunden.Bereich/100)*H$14/12)*1440,0)/1440)</f>
        <v/>
      </c>
      <c r="J24" s="64" t="str">
        <f ca="1">IF(J$8="","",IF(EB.Anwendung&lt;&gt;"",IF(INDEX(August!Monat.ProjekteTotal.Bereich,J$8)&lt;=0,0,INDEX(August!Monat.ProjekteTotal.Bereich,J$8)),""))</f>
        <v/>
      </c>
      <c r="K24" s="381" t="str">
        <f ca="1">IF(OR(J24="",Eingabeblatt!$H20=0),"",ROUND((J24-(T.ProdStunden.Bereich/100)*J$14/12)*1440,0)/1440)</f>
        <v/>
      </c>
      <c r="L24" s="64" t="str">
        <f ca="1">IF(L$8="","",IF(EB.Anwendung&lt;&gt;"",IF(INDEX(August!Monat.ProjekteTotal.Bereich,L$8)&lt;=0,0,INDEX(August!Monat.ProjekteTotal.Bereich,L$8)),""))</f>
        <v/>
      </c>
      <c r="M24" s="381" t="str">
        <f ca="1">IF(OR(L24="",Eingabeblatt!$H20=0),"",ROUND((L24-(T.ProdStunden.Bereich/100)*L$14/12)*1440,0)/1440)</f>
        <v/>
      </c>
      <c r="N24" s="64" t="str">
        <f ca="1">IF(N$8="","",IF(EB.Anwendung&lt;&gt;"",IF(INDEX(August!Monat.ProjekteTotal.Bereich,N$8)&lt;=0,0,INDEX(August!Monat.ProjekteTotal.Bereich,N$8)),""))</f>
        <v/>
      </c>
      <c r="O24" s="381" t="str">
        <f ca="1">IF(OR(N24="",Eingabeblatt!$H20=0),"",ROUND((N24-(T.ProdStunden.Bereich/100)*N$14/12)*1440,0)/1440)</f>
        <v/>
      </c>
      <c r="P24" s="64" t="str">
        <f ca="1">IF(P$8="","",IF(EB.Anwendung&lt;&gt;"",IF(INDEX(August!Monat.ProjekteTotal.Bereich,P$8)&lt;=0,0,INDEX(August!Monat.ProjekteTotal.Bereich,P$8)),""))</f>
        <v/>
      </c>
      <c r="Q24" s="381" t="str">
        <f ca="1">IF(OR(P24="",Eingabeblatt!$H20=0),"",ROUND((P24-(T.ProdStunden.Bereich/100)*P$14/12)*1440,0)/1440)</f>
        <v/>
      </c>
      <c r="R24" s="64" t="str">
        <f ca="1">IF(R$8="","",IF(EB.Anwendung&lt;&gt;"",IF(INDEX(August!Monat.ProjekteTotal.Bereich,R$8)&lt;=0,0,INDEX(August!Monat.ProjekteTotal.Bereich,R$8)),""))</f>
        <v/>
      </c>
      <c r="S24" s="381" t="str">
        <f ca="1">IF(OR(R24="",Eingabeblatt!$H20=0),"",ROUND((R24-(T.ProdStunden.Bereich/100)*R$14/12)*1440,0)/1440)</f>
        <v/>
      </c>
      <c r="T24" s="64" t="str">
        <f ca="1">IF(T$8="","",IF(EB.Anwendung&lt;&gt;"",IF(INDEX(August!Monat.ProjekteTotal.Bereich,T$8)&lt;=0,0,INDEX(August!Monat.ProjekteTotal.Bereich,T$8)),""))</f>
        <v/>
      </c>
      <c r="U24" s="381" t="str">
        <f ca="1">IF(OR(T24="",Eingabeblatt!$H20=0),"",ROUND((T24-(T.ProdStunden.Bereich/100)*T$14/12)*1440,0)/1440)</f>
        <v/>
      </c>
      <c r="V24" s="64" t="str">
        <f ca="1">IF(V$8="","",IF(EB.Anwendung&lt;&gt;"",IF(INDEX(August!Monat.ProjekteTotal.Bereich,V$8)&lt;=0,0,INDEX(August!Monat.ProjekteTotal.Bereich,V$8)),""))</f>
        <v/>
      </c>
      <c r="W24" s="381" t="str">
        <f ca="1">IF(OR(V24="",Eingabeblatt!$H20=0),"",ROUND((V24-(T.ProdStunden.Bereich/100)*V$14/12)*1440,0)/1440)</f>
        <v/>
      </c>
      <c r="X24" s="64" t="str">
        <f ca="1">IF(X$8="","",IF(EB.Anwendung&lt;&gt;"",IF(INDEX(August!Monat.ProjekteTotal.Bereich,X$8)&lt;=0,0,INDEX(August!Monat.ProjekteTotal.Bereich,X$8)),""))</f>
        <v/>
      </c>
      <c r="Y24" s="381" t="str">
        <f ca="1">IF(OR(X24="",Eingabeblatt!$H20=0),"",ROUND((X24-(T.ProdStunden.Bereich/100)*X$14/12)*1440,0)/1440)</f>
        <v/>
      </c>
      <c r="Z24" s="64" t="str">
        <f ca="1">IF(Z$8="","",IF(EB.Anwendung&lt;&gt;"",IF(INDEX(August!Monat.ProjekteTotal.Bereich,Z$8)&lt;=0,0,INDEX(August!Monat.ProjekteTotal.Bereich,Z$8)),""))</f>
        <v/>
      </c>
      <c r="AA24" s="381" t="str">
        <f ca="1">IF(OR(Z24="",Eingabeblatt!$H20=0),"",ROUND((Z24-(T.ProdStunden.Bereich/100)*Z$14/12)*1440,0)/1440)</f>
        <v/>
      </c>
      <c r="AB24" s="64" t="str">
        <f ca="1">IF(AB$8="","",IF(EB.Anwendung&lt;&gt;"",IF(INDEX(August!Monat.ProjekteTotal.Bereich,AB$8)&lt;=0,0,INDEX(August!Monat.ProjekteTotal.Bereich,AB$8)),""))</f>
        <v/>
      </c>
      <c r="AC24" s="381" t="str">
        <f ca="1">IF(OR(AB24="",Eingabeblatt!$H20=0),"",ROUND((AB24-(T.ProdStunden.Bereich/100)*AB$14/12)*1440,0)/1440)</f>
        <v/>
      </c>
      <c r="AD24" s="64" t="str">
        <f ca="1">IF(AD$8="","",IF(EB.Anwendung&lt;&gt;"",IF(INDEX(August!Monat.ProjekteTotal.Bereich,AD$8)&lt;=0,0,INDEX(August!Monat.ProjekteTotal.Bereich,AD$8)),""))</f>
        <v/>
      </c>
      <c r="AE24" s="381" t="str">
        <f ca="1">IF(OR(AD24="",Eingabeblatt!$H20=0),"",ROUND((AD24-(T.ProdStunden.Bereich/100)*AD$14/12)*1440,0)/1440)</f>
        <v/>
      </c>
      <c r="AF24" s="366"/>
      <c r="AG24" s="382">
        <f t="shared" ca="1" si="0"/>
        <v>0</v>
      </c>
      <c r="AH24" s="364"/>
    </row>
    <row r="25" spans="1:34" s="4" customFormat="1" ht="15" customHeight="1" x14ac:dyDescent="0.2">
      <c r="A25" s="380" t="str">
        <f>INDEX(EB.Monate.Bereich,9,0)</f>
        <v>September</v>
      </c>
      <c r="B25" s="64" t="str">
        <f ca="1">IF(B$8="","",IF(EB.Anwendung&lt;&gt;"",IF(INDEX(September!Monat.ProjekteTotal.Bereich,B$8)&lt;=0,0,INDEX(September!Monat.ProjekteTotal.Bereich,B$8)),""))</f>
        <v/>
      </c>
      <c r="C25" s="381" t="str">
        <f ca="1">IF(OR(B25="",Eingabeblatt!$H21=0),"",ROUND((B25-(T.ProdStunden.Bereich/100)*B$14/12)*1440,0)/1440)</f>
        <v/>
      </c>
      <c r="D25" s="64" t="str">
        <f ca="1">IF(D$8="","",IF(EB.Anwendung&lt;&gt;"",IF(INDEX(September!Monat.ProjekteTotal.Bereich,D$8)&lt;=0,0,INDEX(September!Monat.ProjekteTotal.Bereich,D$8)),""))</f>
        <v/>
      </c>
      <c r="E25" s="381" t="str">
        <f ca="1">IF(OR(D25="",Eingabeblatt!$H21=0),"",ROUND((D25-(T.ProdStunden.Bereich/100)*D$14/12)*1440,0)/1440)</f>
        <v/>
      </c>
      <c r="F25" s="64" t="str">
        <f ca="1">IF(F$8="","",IF(EB.Anwendung&lt;&gt;"",IF(INDEX(September!Monat.ProjekteTotal.Bereich,F$8)&lt;=0,0,INDEX(September!Monat.ProjekteTotal.Bereich,F$8)),""))</f>
        <v/>
      </c>
      <c r="G25" s="381" t="str">
        <f ca="1">IF(OR(F25="",Eingabeblatt!$H21=0),"",ROUND((F25-(T.ProdStunden.Bereich/100)*F$14/12)*1440,0)/1440)</f>
        <v/>
      </c>
      <c r="H25" s="64" t="str">
        <f ca="1">IF(H$8="","",IF(EB.Anwendung&lt;&gt;"",IF(INDEX(September!Monat.ProjekteTotal.Bereich,H$8)&lt;=0,0,INDEX(September!Monat.ProjekteTotal.Bereich,H$8)),""))</f>
        <v/>
      </c>
      <c r="I25" s="381" t="str">
        <f ca="1">IF(OR(H25="",Eingabeblatt!$H21=0),"",ROUND((H25-(T.ProdStunden.Bereich/100)*H$14/12)*1440,0)/1440)</f>
        <v/>
      </c>
      <c r="J25" s="64" t="str">
        <f ca="1">IF(J$8="","",IF(EB.Anwendung&lt;&gt;"",IF(INDEX(September!Monat.ProjekteTotal.Bereich,J$8)&lt;=0,0,INDEX(September!Monat.ProjekteTotal.Bereich,J$8)),""))</f>
        <v/>
      </c>
      <c r="K25" s="381" t="str">
        <f ca="1">IF(OR(J25="",Eingabeblatt!$H21=0),"",ROUND((J25-(T.ProdStunden.Bereich/100)*J$14/12)*1440,0)/1440)</f>
        <v/>
      </c>
      <c r="L25" s="64" t="str">
        <f ca="1">IF(L$8="","",IF(EB.Anwendung&lt;&gt;"",IF(INDEX(September!Monat.ProjekteTotal.Bereich,L$8)&lt;=0,0,INDEX(September!Monat.ProjekteTotal.Bereich,L$8)),""))</f>
        <v/>
      </c>
      <c r="M25" s="381" t="str">
        <f ca="1">IF(OR(L25="",Eingabeblatt!$H21=0),"",ROUND((L25-(T.ProdStunden.Bereich/100)*L$14/12)*1440,0)/1440)</f>
        <v/>
      </c>
      <c r="N25" s="64" t="str">
        <f ca="1">IF(N$8="","",IF(EB.Anwendung&lt;&gt;"",IF(INDEX(September!Monat.ProjekteTotal.Bereich,N$8)&lt;=0,0,INDEX(September!Monat.ProjekteTotal.Bereich,N$8)),""))</f>
        <v/>
      </c>
      <c r="O25" s="381" t="str">
        <f ca="1">IF(OR(N25="",Eingabeblatt!$H21=0),"",ROUND((N25-(T.ProdStunden.Bereich/100)*N$14/12)*1440,0)/1440)</f>
        <v/>
      </c>
      <c r="P25" s="64" t="str">
        <f ca="1">IF(P$8="","",IF(EB.Anwendung&lt;&gt;"",IF(INDEX(September!Monat.ProjekteTotal.Bereich,P$8)&lt;=0,0,INDEX(September!Monat.ProjekteTotal.Bereich,P$8)),""))</f>
        <v/>
      </c>
      <c r="Q25" s="381" t="str">
        <f ca="1">IF(OR(P25="",Eingabeblatt!$H21=0),"",ROUND((P25-(T.ProdStunden.Bereich/100)*P$14/12)*1440,0)/1440)</f>
        <v/>
      </c>
      <c r="R25" s="64" t="str">
        <f ca="1">IF(R$8="","",IF(EB.Anwendung&lt;&gt;"",IF(INDEX(September!Monat.ProjekteTotal.Bereich,R$8)&lt;=0,0,INDEX(September!Monat.ProjekteTotal.Bereich,R$8)),""))</f>
        <v/>
      </c>
      <c r="S25" s="381" t="str">
        <f ca="1">IF(OR(R25="",Eingabeblatt!$H21=0),"",ROUND((R25-(T.ProdStunden.Bereich/100)*R$14/12)*1440,0)/1440)</f>
        <v/>
      </c>
      <c r="T25" s="64" t="str">
        <f ca="1">IF(T$8="","",IF(EB.Anwendung&lt;&gt;"",IF(INDEX(September!Monat.ProjekteTotal.Bereich,T$8)&lt;=0,0,INDEX(September!Monat.ProjekteTotal.Bereich,T$8)),""))</f>
        <v/>
      </c>
      <c r="U25" s="381" t="str">
        <f ca="1">IF(OR(T25="",Eingabeblatt!$H21=0),"",ROUND((T25-(T.ProdStunden.Bereich/100)*T$14/12)*1440,0)/1440)</f>
        <v/>
      </c>
      <c r="V25" s="64" t="str">
        <f ca="1">IF(V$8="","",IF(EB.Anwendung&lt;&gt;"",IF(INDEX(September!Monat.ProjekteTotal.Bereich,V$8)&lt;=0,0,INDEX(September!Monat.ProjekteTotal.Bereich,V$8)),""))</f>
        <v/>
      </c>
      <c r="W25" s="381" t="str">
        <f ca="1">IF(OR(V25="",Eingabeblatt!$H21=0),"",ROUND((V25-(T.ProdStunden.Bereich/100)*V$14/12)*1440,0)/1440)</f>
        <v/>
      </c>
      <c r="X25" s="64" t="str">
        <f ca="1">IF(X$8="","",IF(EB.Anwendung&lt;&gt;"",IF(INDEX(September!Monat.ProjekteTotal.Bereich,X$8)&lt;=0,0,INDEX(September!Monat.ProjekteTotal.Bereich,X$8)),""))</f>
        <v/>
      </c>
      <c r="Y25" s="381" t="str">
        <f ca="1">IF(OR(X25="",Eingabeblatt!$H21=0),"",ROUND((X25-(T.ProdStunden.Bereich/100)*X$14/12)*1440,0)/1440)</f>
        <v/>
      </c>
      <c r="Z25" s="64" t="str">
        <f ca="1">IF(Z$8="","",IF(EB.Anwendung&lt;&gt;"",IF(INDEX(September!Monat.ProjekteTotal.Bereich,Z$8)&lt;=0,0,INDEX(September!Monat.ProjekteTotal.Bereich,Z$8)),""))</f>
        <v/>
      </c>
      <c r="AA25" s="381" t="str">
        <f ca="1">IF(OR(Z25="",Eingabeblatt!$H21=0),"",ROUND((Z25-(T.ProdStunden.Bereich/100)*Z$14/12)*1440,0)/1440)</f>
        <v/>
      </c>
      <c r="AB25" s="64" t="str">
        <f ca="1">IF(AB$8="","",IF(EB.Anwendung&lt;&gt;"",IF(INDEX(September!Monat.ProjekteTotal.Bereich,AB$8)&lt;=0,0,INDEX(September!Monat.ProjekteTotal.Bereich,AB$8)),""))</f>
        <v/>
      </c>
      <c r="AC25" s="381" t="str">
        <f ca="1">IF(OR(AB25="",Eingabeblatt!$H21=0),"",ROUND((AB25-(T.ProdStunden.Bereich/100)*AB$14/12)*1440,0)/1440)</f>
        <v/>
      </c>
      <c r="AD25" s="64" t="str">
        <f ca="1">IF(AD$8="","",IF(EB.Anwendung&lt;&gt;"",IF(INDEX(September!Monat.ProjekteTotal.Bereich,AD$8)&lt;=0,0,INDEX(September!Monat.ProjekteTotal.Bereich,AD$8)),""))</f>
        <v/>
      </c>
      <c r="AE25" s="381" t="str">
        <f ca="1">IF(OR(AD25="",Eingabeblatt!$H21=0),"",ROUND((AD25-(T.ProdStunden.Bereich/100)*AD$14/12)*1440,0)/1440)</f>
        <v/>
      </c>
      <c r="AF25" s="366"/>
      <c r="AG25" s="382">
        <f t="shared" ca="1" si="0"/>
        <v>0</v>
      </c>
      <c r="AH25" s="364"/>
    </row>
    <row r="26" spans="1:34" s="4" customFormat="1" ht="15" customHeight="1" x14ac:dyDescent="0.2">
      <c r="A26" s="380" t="str">
        <f>INDEX(EB.Monate.Bereich,10,0)</f>
        <v>October</v>
      </c>
      <c r="B26" s="64" t="str">
        <f ca="1">IF(B$8="","",IF(EB.Anwendung&lt;&gt;"",IF(INDEX(October!Monat.ProjekteTotal.Bereich,B$8)&lt;=0,0,INDEX(October!Monat.ProjekteTotal.Bereich,B$8)),""))</f>
        <v/>
      </c>
      <c r="C26" s="381" t="str">
        <f ca="1">IF(OR(B26="",Eingabeblatt!$H22=0),"",ROUND((B26-(T.ProdStunden.Bereich/100)*B$14/12)*1440,0)/1440)</f>
        <v/>
      </c>
      <c r="D26" s="64" t="str">
        <f ca="1">IF(D$8="","",IF(EB.Anwendung&lt;&gt;"",IF(INDEX(October!Monat.ProjekteTotal.Bereich,D$8)&lt;=0,0,INDEX(October!Monat.ProjekteTotal.Bereich,D$8)),""))</f>
        <v/>
      </c>
      <c r="E26" s="381" t="str">
        <f ca="1">IF(OR(D26="",Eingabeblatt!$H22=0),"",ROUND((D26-(T.ProdStunden.Bereich/100)*D$14/12)*1440,0)/1440)</f>
        <v/>
      </c>
      <c r="F26" s="64" t="str">
        <f ca="1">IF(F$8="","",IF(EB.Anwendung&lt;&gt;"",IF(INDEX(October!Monat.ProjekteTotal.Bereich,F$8)&lt;=0,0,INDEX(October!Monat.ProjekteTotal.Bereich,F$8)),""))</f>
        <v/>
      </c>
      <c r="G26" s="381" t="str">
        <f ca="1">IF(OR(F26="",Eingabeblatt!$H22=0),"",ROUND((F26-(T.ProdStunden.Bereich/100)*F$14/12)*1440,0)/1440)</f>
        <v/>
      </c>
      <c r="H26" s="64" t="str">
        <f ca="1">IF(H$8="","",IF(EB.Anwendung&lt;&gt;"",IF(INDEX(October!Monat.ProjekteTotal.Bereich,H$8)&lt;=0,0,INDEX(October!Monat.ProjekteTotal.Bereich,H$8)),""))</f>
        <v/>
      </c>
      <c r="I26" s="381" t="str">
        <f ca="1">IF(OR(H26="",Eingabeblatt!$H22=0),"",ROUND((H26-(T.ProdStunden.Bereich/100)*H$14/12)*1440,0)/1440)</f>
        <v/>
      </c>
      <c r="J26" s="64" t="str">
        <f ca="1">IF(J$8="","",IF(EB.Anwendung&lt;&gt;"",IF(INDEX(October!Monat.ProjekteTotal.Bereich,J$8)&lt;=0,0,INDEX(October!Monat.ProjekteTotal.Bereich,J$8)),""))</f>
        <v/>
      </c>
      <c r="K26" s="381" t="str">
        <f ca="1">IF(OR(J26="",Eingabeblatt!$H22=0),"",ROUND((J26-(T.ProdStunden.Bereich/100)*J$14/12)*1440,0)/1440)</f>
        <v/>
      </c>
      <c r="L26" s="64" t="str">
        <f ca="1">IF(L$8="","",IF(EB.Anwendung&lt;&gt;"",IF(INDEX(October!Monat.ProjekteTotal.Bereich,L$8)&lt;=0,0,INDEX(October!Monat.ProjekteTotal.Bereich,L$8)),""))</f>
        <v/>
      </c>
      <c r="M26" s="381" t="str">
        <f ca="1">IF(OR(L26="",Eingabeblatt!$H22=0),"",ROUND((L26-(T.ProdStunden.Bereich/100)*L$14/12)*1440,0)/1440)</f>
        <v/>
      </c>
      <c r="N26" s="64" t="str">
        <f ca="1">IF(N$8="","",IF(EB.Anwendung&lt;&gt;"",IF(INDEX(October!Monat.ProjekteTotal.Bereich,N$8)&lt;=0,0,INDEX(October!Monat.ProjekteTotal.Bereich,N$8)),""))</f>
        <v/>
      </c>
      <c r="O26" s="381" t="str">
        <f ca="1">IF(OR(N26="",Eingabeblatt!$H22=0),"",ROUND((N26-(T.ProdStunden.Bereich/100)*N$14/12)*1440,0)/1440)</f>
        <v/>
      </c>
      <c r="P26" s="64" t="str">
        <f ca="1">IF(P$8="","",IF(EB.Anwendung&lt;&gt;"",IF(INDEX(October!Monat.ProjekteTotal.Bereich,P$8)&lt;=0,0,INDEX(October!Monat.ProjekteTotal.Bereich,P$8)),""))</f>
        <v/>
      </c>
      <c r="Q26" s="381" t="str">
        <f ca="1">IF(OR(P26="",Eingabeblatt!$H22=0),"",ROUND((P26-(T.ProdStunden.Bereich/100)*P$14/12)*1440,0)/1440)</f>
        <v/>
      </c>
      <c r="R26" s="64" t="str">
        <f ca="1">IF(R$8="","",IF(EB.Anwendung&lt;&gt;"",IF(INDEX(October!Monat.ProjekteTotal.Bereich,R$8)&lt;=0,0,INDEX(October!Monat.ProjekteTotal.Bereich,R$8)),""))</f>
        <v/>
      </c>
      <c r="S26" s="381" t="str">
        <f ca="1">IF(OR(R26="",Eingabeblatt!$H22=0),"",ROUND((R26-(T.ProdStunden.Bereich/100)*R$14/12)*1440,0)/1440)</f>
        <v/>
      </c>
      <c r="T26" s="64" t="str">
        <f ca="1">IF(T$8="","",IF(EB.Anwendung&lt;&gt;"",IF(INDEX(October!Monat.ProjekteTotal.Bereich,T$8)&lt;=0,0,INDEX(October!Monat.ProjekteTotal.Bereich,T$8)),""))</f>
        <v/>
      </c>
      <c r="U26" s="381" t="str">
        <f ca="1">IF(OR(T26="",Eingabeblatt!$H22=0),"",ROUND((T26-(T.ProdStunden.Bereich/100)*T$14/12)*1440,0)/1440)</f>
        <v/>
      </c>
      <c r="V26" s="64" t="str">
        <f ca="1">IF(V$8="","",IF(EB.Anwendung&lt;&gt;"",IF(INDEX(October!Monat.ProjekteTotal.Bereich,V$8)&lt;=0,0,INDEX(October!Monat.ProjekteTotal.Bereich,V$8)),""))</f>
        <v/>
      </c>
      <c r="W26" s="381" t="str">
        <f ca="1">IF(OR(V26="",Eingabeblatt!$H22=0),"",ROUND((V26-(T.ProdStunden.Bereich/100)*V$14/12)*1440,0)/1440)</f>
        <v/>
      </c>
      <c r="X26" s="64" t="str">
        <f ca="1">IF(X$8="","",IF(EB.Anwendung&lt;&gt;"",IF(INDEX(October!Monat.ProjekteTotal.Bereich,X$8)&lt;=0,0,INDEX(October!Monat.ProjekteTotal.Bereich,X$8)),""))</f>
        <v/>
      </c>
      <c r="Y26" s="381" t="str">
        <f ca="1">IF(OR(X26="",Eingabeblatt!$H22=0),"",ROUND((X26-(T.ProdStunden.Bereich/100)*X$14/12)*1440,0)/1440)</f>
        <v/>
      </c>
      <c r="Z26" s="64" t="str">
        <f ca="1">IF(Z$8="","",IF(EB.Anwendung&lt;&gt;"",IF(INDEX(October!Monat.ProjekteTotal.Bereich,Z$8)&lt;=0,0,INDEX(October!Monat.ProjekteTotal.Bereich,Z$8)),""))</f>
        <v/>
      </c>
      <c r="AA26" s="381" t="str">
        <f ca="1">IF(OR(Z26="",Eingabeblatt!$H22=0),"",ROUND((Z26-(T.ProdStunden.Bereich/100)*Z$14/12)*1440,0)/1440)</f>
        <v/>
      </c>
      <c r="AB26" s="64" t="str">
        <f ca="1">IF(AB$8="","",IF(EB.Anwendung&lt;&gt;"",IF(INDEX(October!Monat.ProjekteTotal.Bereich,AB$8)&lt;=0,0,INDEX(October!Monat.ProjekteTotal.Bereich,AB$8)),""))</f>
        <v/>
      </c>
      <c r="AC26" s="381" t="str">
        <f ca="1">IF(OR(AB26="",Eingabeblatt!$H22=0),"",ROUND((AB26-(T.ProdStunden.Bereich/100)*AB$14/12)*1440,0)/1440)</f>
        <v/>
      </c>
      <c r="AD26" s="64" t="str">
        <f ca="1">IF(AD$8="","",IF(EB.Anwendung&lt;&gt;"",IF(INDEX(October!Monat.ProjekteTotal.Bereich,AD$8)&lt;=0,0,INDEX(October!Monat.ProjekteTotal.Bereich,AD$8)),""))</f>
        <v/>
      </c>
      <c r="AE26" s="381" t="str">
        <f ca="1">IF(OR(AD26="",Eingabeblatt!$H22=0),"",ROUND((AD26-(T.ProdStunden.Bereich/100)*AD$14/12)*1440,0)/1440)</f>
        <v/>
      </c>
      <c r="AF26" s="366"/>
      <c r="AG26" s="382">
        <f t="shared" ca="1" si="0"/>
        <v>0</v>
      </c>
      <c r="AH26" s="364"/>
    </row>
    <row r="27" spans="1:34" s="4" customFormat="1" ht="15" customHeight="1" x14ac:dyDescent="0.2">
      <c r="A27" s="380" t="str">
        <f>INDEX(EB.Monate.Bereich,11,0)</f>
        <v>November</v>
      </c>
      <c r="B27" s="64" t="str">
        <f ca="1">IF(B$8="","",IF(EB.Anwendung&lt;&gt;"",IF(INDEX(November!Monat.ProjekteTotal.Bereich,B$8)&lt;=0,0,INDEX(November!Monat.ProjekteTotal.Bereich,B$8)),""))</f>
        <v/>
      </c>
      <c r="C27" s="381" t="str">
        <f ca="1">IF(OR(B27="",Eingabeblatt!$H23=0),"",ROUND((B27-(T.ProdStunden.Bereich/100)*B$14/12)*1440,0)/1440)</f>
        <v/>
      </c>
      <c r="D27" s="64" t="str">
        <f ca="1">IF(D$8="","",IF(EB.Anwendung&lt;&gt;"",IF(INDEX(November!Monat.ProjekteTotal.Bereich,D$8)&lt;=0,0,INDEX(November!Monat.ProjekteTotal.Bereich,D$8)),""))</f>
        <v/>
      </c>
      <c r="E27" s="381" t="str">
        <f ca="1">IF(OR(D27="",Eingabeblatt!$H23=0),"",ROUND((D27-(T.ProdStunden.Bereich/100)*D$14/12)*1440,0)/1440)</f>
        <v/>
      </c>
      <c r="F27" s="64" t="str">
        <f ca="1">IF(F$8="","",IF(EB.Anwendung&lt;&gt;"",IF(INDEX(November!Monat.ProjekteTotal.Bereich,F$8)&lt;=0,0,INDEX(November!Monat.ProjekteTotal.Bereich,F$8)),""))</f>
        <v/>
      </c>
      <c r="G27" s="381" t="str">
        <f ca="1">IF(OR(F27="",Eingabeblatt!$H23=0),"",ROUND((F27-(T.ProdStunden.Bereich/100)*F$14/12)*1440,0)/1440)</f>
        <v/>
      </c>
      <c r="H27" s="64" t="str">
        <f ca="1">IF(H$8="","",IF(EB.Anwendung&lt;&gt;"",IF(INDEX(November!Monat.ProjekteTotal.Bereich,H$8)&lt;=0,0,INDEX(November!Monat.ProjekteTotal.Bereich,H$8)),""))</f>
        <v/>
      </c>
      <c r="I27" s="381" t="str">
        <f ca="1">IF(OR(H27="",Eingabeblatt!$H23=0),"",ROUND((H27-(T.ProdStunden.Bereich/100)*H$14/12)*1440,0)/1440)</f>
        <v/>
      </c>
      <c r="J27" s="64" t="str">
        <f ca="1">IF(J$8="","",IF(EB.Anwendung&lt;&gt;"",IF(INDEX(November!Monat.ProjekteTotal.Bereich,J$8)&lt;=0,0,INDEX(November!Monat.ProjekteTotal.Bereich,J$8)),""))</f>
        <v/>
      </c>
      <c r="K27" s="381" t="str">
        <f ca="1">IF(OR(J27="",Eingabeblatt!$H23=0),"",ROUND((J27-(T.ProdStunden.Bereich/100)*J$14/12)*1440,0)/1440)</f>
        <v/>
      </c>
      <c r="L27" s="64" t="str">
        <f ca="1">IF(L$8="","",IF(EB.Anwendung&lt;&gt;"",IF(INDEX(November!Monat.ProjekteTotal.Bereich,L$8)&lt;=0,0,INDEX(November!Monat.ProjekteTotal.Bereich,L$8)),""))</f>
        <v/>
      </c>
      <c r="M27" s="381" t="str">
        <f ca="1">IF(OR(L27="",Eingabeblatt!$H23=0),"",ROUND((L27-(T.ProdStunden.Bereich/100)*L$14/12)*1440,0)/1440)</f>
        <v/>
      </c>
      <c r="N27" s="64" t="str">
        <f ca="1">IF(N$8="","",IF(EB.Anwendung&lt;&gt;"",IF(INDEX(November!Monat.ProjekteTotal.Bereich,N$8)&lt;=0,0,INDEX(November!Monat.ProjekteTotal.Bereich,N$8)),""))</f>
        <v/>
      </c>
      <c r="O27" s="381" t="str">
        <f ca="1">IF(OR(N27="",Eingabeblatt!$H23=0),"",ROUND((N27-(T.ProdStunden.Bereich/100)*N$14/12)*1440,0)/1440)</f>
        <v/>
      </c>
      <c r="P27" s="64" t="str">
        <f ca="1">IF(P$8="","",IF(EB.Anwendung&lt;&gt;"",IF(INDEX(November!Monat.ProjekteTotal.Bereich,P$8)&lt;=0,0,INDEX(November!Monat.ProjekteTotal.Bereich,P$8)),""))</f>
        <v/>
      </c>
      <c r="Q27" s="381" t="str">
        <f ca="1">IF(OR(P27="",Eingabeblatt!$H23=0),"",ROUND((P27-(T.ProdStunden.Bereich/100)*P$14/12)*1440,0)/1440)</f>
        <v/>
      </c>
      <c r="R27" s="64" t="str">
        <f ca="1">IF(R$8="","",IF(EB.Anwendung&lt;&gt;"",IF(INDEX(November!Monat.ProjekteTotal.Bereich,R$8)&lt;=0,0,INDEX(November!Monat.ProjekteTotal.Bereich,R$8)),""))</f>
        <v/>
      </c>
      <c r="S27" s="381" t="str">
        <f ca="1">IF(OR(R27="",Eingabeblatt!$H23=0),"",ROUND((R27-(T.ProdStunden.Bereich/100)*R$14/12)*1440,0)/1440)</f>
        <v/>
      </c>
      <c r="T27" s="64" t="str">
        <f ca="1">IF(T$8="","",IF(EB.Anwendung&lt;&gt;"",IF(INDEX(November!Monat.ProjekteTotal.Bereich,T$8)&lt;=0,0,INDEX(November!Monat.ProjekteTotal.Bereich,T$8)),""))</f>
        <v/>
      </c>
      <c r="U27" s="381" t="str">
        <f ca="1">IF(OR(T27="",Eingabeblatt!$H23=0),"",ROUND((T27-(T.ProdStunden.Bereich/100)*T$14/12)*1440,0)/1440)</f>
        <v/>
      </c>
      <c r="V27" s="64" t="str">
        <f ca="1">IF(V$8="","",IF(EB.Anwendung&lt;&gt;"",IF(INDEX(November!Monat.ProjekteTotal.Bereich,V$8)&lt;=0,0,INDEX(November!Monat.ProjekteTotal.Bereich,V$8)),""))</f>
        <v/>
      </c>
      <c r="W27" s="381" t="str">
        <f ca="1">IF(OR(V27="",Eingabeblatt!$H23=0),"",ROUND((V27-(T.ProdStunden.Bereich/100)*V$14/12)*1440,0)/1440)</f>
        <v/>
      </c>
      <c r="X27" s="64" t="str">
        <f ca="1">IF(X$8="","",IF(EB.Anwendung&lt;&gt;"",IF(INDEX(November!Monat.ProjekteTotal.Bereich,X$8)&lt;=0,0,INDEX(November!Monat.ProjekteTotal.Bereich,X$8)),""))</f>
        <v/>
      </c>
      <c r="Y27" s="381" t="str">
        <f ca="1">IF(OR(X27="",Eingabeblatt!$H23=0),"",ROUND((X27-(T.ProdStunden.Bereich/100)*X$14/12)*1440,0)/1440)</f>
        <v/>
      </c>
      <c r="Z27" s="64" t="str">
        <f ca="1">IF(Z$8="","",IF(EB.Anwendung&lt;&gt;"",IF(INDEX(November!Monat.ProjekteTotal.Bereich,Z$8)&lt;=0,0,INDEX(November!Monat.ProjekteTotal.Bereich,Z$8)),""))</f>
        <v/>
      </c>
      <c r="AA27" s="381" t="str">
        <f ca="1">IF(OR(Z27="",Eingabeblatt!$H23=0),"",ROUND((Z27-(T.ProdStunden.Bereich/100)*Z$14/12)*1440,0)/1440)</f>
        <v/>
      </c>
      <c r="AB27" s="64" t="str">
        <f ca="1">IF(AB$8="","",IF(EB.Anwendung&lt;&gt;"",IF(INDEX(November!Monat.ProjekteTotal.Bereich,AB$8)&lt;=0,0,INDEX(November!Monat.ProjekteTotal.Bereich,AB$8)),""))</f>
        <v/>
      </c>
      <c r="AC27" s="381" t="str">
        <f ca="1">IF(OR(AB27="",Eingabeblatt!$H23=0),"",ROUND((AB27-(T.ProdStunden.Bereich/100)*AB$14/12)*1440,0)/1440)</f>
        <v/>
      </c>
      <c r="AD27" s="64" t="str">
        <f ca="1">IF(AD$8="","",IF(EB.Anwendung&lt;&gt;"",IF(INDEX(November!Monat.ProjekteTotal.Bereich,AD$8)&lt;=0,0,INDEX(November!Monat.ProjekteTotal.Bereich,AD$8)),""))</f>
        <v/>
      </c>
      <c r="AE27" s="381" t="str">
        <f ca="1">IF(OR(AD27="",Eingabeblatt!$H23=0),"",ROUND((AD27-(T.ProdStunden.Bereich/100)*AD$14/12)*1440,0)/1440)</f>
        <v/>
      </c>
      <c r="AF27" s="366"/>
      <c r="AG27" s="382">
        <f t="shared" ca="1" si="0"/>
        <v>0</v>
      </c>
      <c r="AH27" s="364"/>
    </row>
    <row r="28" spans="1:34" s="4" customFormat="1" ht="15" customHeight="1" x14ac:dyDescent="0.2">
      <c r="A28" s="380" t="str">
        <f>INDEX(EB.Monate.Bereich,12,0)</f>
        <v>December</v>
      </c>
      <c r="B28" s="64" t="str">
        <f ca="1">IF(B$8="","",IF(EB.Anwendung&lt;&gt;"",IF(INDEX(December!Monat.ProjekteTotal.Bereich,B$8)&lt;=0,0,INDEX(December!Monat.ProjekteTotal.Bereich,B$8)),""))</f>
        <v/>
      </c>
      <c r="C28" s="381" t="str">
        <f ca="1">IF(OR(B28="",Eingabeblatt!$H24=0),"",ROUND((B28-(T.ProdStunden.Bereich/100)*B$14/12)*1440,0)/1440)</f>
        <v/>
      </c>
      <c r="D28" s="64" t="str">
        <f ca="1">IF(D$8="","",IF(EB.Anwendung&lt;&gt;"",IF(INDEX(December!Monat.ProjekteTotal.Bereich,D$8)&lt;=0,0,INDEX(December!Monat.ProjekteTotal.Bereich,D$8)),""))</f>
        <v/>
      </c>
      <c r="E28" s="381" t="str">
        <f ca="1">IF(OR(D28="",Eingabeblatt!$H24=0),"",ROUND((D28-(T.ProdStunden.Bereich/100)*D$14/12)*1440,0)/1440)</f>
        <v/>
      </c>
      <c r="F28" s="64" t="str">
        <f ca="1">IF(F$8="","",IF(EB.Anwendung&lt;&gt;"",IF(INDEX(December!Monat.ProjekteTotal.Bereich,F$8)&lt;=0,0,INDEX(December!Monat.ProjekteTotal.Bereich,F$8)),""))</f>
        <v/>
      </c>
      <c r="G28" s="381" t="str">
        <f ca="1">IF(OR(F28="",Eingabeblatt!$H24=0),"",ROUND((F28-(T.ProdStunden.Bereich/100)*F$14/12)*1440,0)/1440)</f>
        <v/>
      </c>
      <c r="H28" s="64" t="str">
        <f ca="1">IF(H$8="","",IF(EB.Anwendung&lt;&gt;"",IF(INDEX(December!Monat.ProjekteTotal.Bereich,H$8)&lt;=0,0,INDEX(December!Monat.ProjekteTotal.Bereich,H$8)),""))</f>
        <v/>
      </c>
      <c r="I28" s="381" t="str">
        <f ca="1">IF(OR(H28="",Eingabeblatt!$H24=0),"",ROUND((H28-(T.ProdStunden.Bereich/100)*H$14/12)*1440,0)/1440)</f>
        <v/>
      </c>
      <c r="J28" s="64" t="str">
        <f ca="1">IF(J$8="","",IF(EB.Anwendung&lt;&gt;"",IF(INDEX(December!Monat.ProjekteTotal.Bereich,J$8)&lt;=0,0,INDEX(December!Monat.ProjekteTotal.Bereich,J$8)),""))</f>
        <v/>
      </c>
      <c r="K28" s="381" t="str">
        <f ca="1">IF(OR(J28="",Eingabeblatt!$H24=0),"",ROUND((J28-(T.ProdStunden.Bereich/100)*J$14/12)*1440,0)/1440)</f>
        <v/>
      </c>
      <c r="L28" s="64" t="str">
        <f ca="1">IF(L$8="","",IF(EB.Anwendung&lt;&gt;"",IF(INDEX(December!Monat.ProjekteTotal.Bereich,L$8)&lt;=0,0,INDEX(December!Monat.ProjekteTotal.Bereich,L$8)),""))</f>
        <v/>
      </c>
      <c r="M28" s="381" t="str">
        <f ca="1">IF(OR(L28="",Eingabeblatt!$H24=0),"",ROUND((L28-(T.ProdStunden.Bereich/100)*L$14/12)*1440,0)/1440)</f>
        <v/>
      </c>
      <c r="N28" s="64" t="str">
        <f ca="1">IF(N$8="","",IF(EB.Anwendung&lt;&gt;"",IF(INDEX(December!Monat.ProjekteTotal.Bereich,N$8)&lt;=0,0,INDEX(December!Monat.ProjekteTotal.Bereich,N$8)),""))</f>
        <v/>
      </c>
      <c r="O28" s="381" t="str">
        <f ca="1">IF(OR(N28="",Eingabeblatt!$H24=0),"",ROUND((N28-(T.ProdStunden.Bereich/100)*N$14/12)*1440,0)/1440)</f>
        <v/>
      </c>
      <c r="P28" s="64" t="str">
        <f ca="1">IF(P$8="","",IF(EB.Anwendung&lt;&gt;"",IF(INDEX(December!Monat.ProjekteTotal.Bereich,P$8)&lt;=0,0,INDEX(December!Monat.ProjekteTotal.Bereich,P$8)),""))</f>
        <v/>
      </c>
      <c r="Q28" s="381" t="str">
        <f ca="1">IF(OR(P28="",Eingabeblatt!$H24=0),"",ROUND((P28-(T.ProdStunden.Bereich/100)*P$14/12)*1440,0)/1440)</f>
        <v/>
      </c>
      <c r="R28" s="64" t="str">
        <f ca="1">IF(R$8="","",IF(EB.Anwendung&lt;&gt;"",IF(INDEX(December!Monat.ProjekteTotal.Bereich,R$8)&lt;=0,0,INDEX(December!Monat.ProjekteTotal.Bereich,R$8)),""))</f>
        <v/>
      </c>
      <c r="S28" s="381" t="str">
        <f ca="1">IF(OR(R28="",Eingabeblatt!$H24=0),"",ROUND((R28-(T.ProdStunden.Bereich/100)*R$14/12)*1440,0)/1440)</f>
        <v/>
      </c>
      <c r="T28" s="64" t="str">
        <f ca="1">IF(T$8="","",IF(EB.Anwendung&lt;&gt;"",IF(INDEX(December!Monat.ProjekteTotal.Bereich,T$8)&lt;=0,0,INDEX(December!Monat.ProjekteTotal.Bereich,T$8)),""))</f>
        <v/>
      </c>
      <c r="U28" s="381" t="str">
        <f ca="1">IF(OR(T28="",Eingabeblatt!$H24=0),"",ROUND((T28-(T.ProdStunden.Bereich/100)*T$14/12)*1440,0)/1440)</f>
        <v/>
      </c>
      <c r="V28" s="64" t="str">
        <f ca="1">IF(V$8="","",IF(EB.Anwendung&lt;&gt;"",IF(INDEX(December!Monat.ProjekteTotal.Bereich,V$8)&lt;=0,0,INDEX(December!Monat.ProjekteTotal.Bereich,V$8)),""))</f>
        <v/>
      </c>
      <c r="W28" s="381" t="str">
        <f ca="1">IF(OR(V28="",Eingabeblatt!$H24=0),"",ROUND((V28-(T.ProdStunden.Bereich/100)*V$14/12)*1440,0)/1440)</f>
        <v/>
      </c>
      <c r="X28" s="64" t="str">
        <f ca="1">IF(X$8="","",IF(EB.Anwendung&lt;&gt;"",IF(INDEX(December!Monat.ProjekteTotal.Bereich,X$8)&lt;=0,0,INDEX(December!Monat.ProjekteTotal.Bereich,X$8)),""))</f>
        <v/>
      </c>
      <c r="Y28" s="381" t="str">
        <f ca="1">IF(OR(X28="",Eingabeblatt!$H24=0),"",ROUND((X28-(T.ProdStunden.Bereich/100)*X$14/12)*1440,0)/1440)</f>
        <v/>
      </c>
      <c r="Z28" s="64" t="str">
        <f ca="1">IF(Z$8="","",IF(EB.Anwendung&lt;&gt;"",IF(INDEX(December!Monat.ProjekteTotal.Bereich,Z$8)&lt;=0,0,INDEX(December!Monat.ProjekteTotal.Bereich,Z$8)),""))</f>
        <v/>
      </c>
      <c r="AA28" s="381" t="str">
        <f ca="1">IF(OR(Z28="",Eingabeblatt!$H24=0),"",ROUND((Z28-(T.ProdStunden.Bereich/100)*Z$14/12)*1440,0)/1440)</f>
        <v/>
      </c>
      <c r="AB28" s="64" t="str">
        <f ca="1">IF(AB$8="","",IF(EB.Anwendung&lt;&gt;"",IF(INDEX(December!Monat.ProjekteTotal.Bereich,AB$8)&lt;=0,0,INDEX(December!Monat.ProjekteTotal.Bereich,AB$8)),""))</f>
        <v/>
      </c>
      <c r="AC28" s="381" t="str">
        <f ca="1">IF(OR(AB28="",Eingabeblatt!$H24=0),"",ROUND((AB28-(T.ProdStunden.Bereich/100)*AB$14/12)*1440,0)/1440)</f>
        <v/>
      </c>
      <c r="AD28" s="64" t="str">
        <f ca="1">IF(AD$8="","",IF(EB.Anwendung&lt;&gt;"",IF(INDEX(December!Monat.ProjekteTotal.Bereich,AD$8)&lt;=0,0,INDEX(December!Monat.ProjekteTotal.Bereich,AD$8)),""))</f>
        <v/>
      </c>
      <c r="AE28" s="381" t="str">
        <f ca="1">IF(OR(AD28="",Eingabeblatt!$H24=0),"",ROUND((AD28-(T.ProdStunden.Bereich/100)*AD$14/12)*1440,0)/1440)</f>
        <v/>
      </c>
      <c r="AF28" s="366"/>
      <c r="AG28" s="382">
        <f t="shared" ca="1" si="0"/>
        <v>0</v>
      </c>
      <c r="AH28" s="364"/>
    </row>
    <row r="29" spans="1:34" s="4" customFormat="1" ht="11.25" customHeight="1" x14ac:dyDescent="0.2">
      <c r="A29" s="383"/>
      <c r="B29" s="378"/>
      <c r="C29" s="378"/>
      <c r="D29" s="366"/>
      <c r="E29" s="378"/>
      <c r="F29" s="366"/>
      <c r="G29" s="378"/>
      <c r="H29" s="366"/>
      <c r="I29" s="378"/>
      <c r="J29" s="366"/>
      <c r="K29" s="378"/>
      <c r="L29" s="366"/>
      <c r="M29" s="378"/>
      <c r="N29" s="366"/>
      <c r="O29" s="378"/>
      <c r="P29" s="366"/>
      <c r="Q29" s="378"/>
      <c r="R29" s="366"/>
      <c r="S29" s="378"/>
      <c r="T29" s="366"/>
      <c r="U29" s="378"/>
      <c r="V29" s="366"/>
      <c r="W29" s="378"/>
      <c r="X29" s="366"/>
      <c r="Y29" s="378"/>
      <c r="Z29" s="366"/>
      <c r="AA29" s="378"/>
      <c r="AB29" s="366"/>
      <c r="AC29" s="378"/>
      <c r="AD29" s="366"/>
      <c r="AE29" s="366"/>
      <c r="AF29" s="366"/>
      <c r="AG29" s="366"/>
      <c r="AH29" s="366"/>
    </row>
    <row r="30" spans="1:34" s="4" customFormat="1" ht="15" customHeight="1" x14ac:dyDescent="0.2">
      <c r="A30" s="384" t="s">
        <v>100</v>
      </c>
      <c r="B30" s="64">
        <f ca="1">SUM(B17:B28)</f>
        <v>0</v>
      </c>
      <c r="C30" s="385"/>
      <c r="D30" s="64">
        <f ca="1">SUM(D17:D28)</f>
        <v>0</v>
      </c>
      <c r="E30" s="385"/>
      <c r="F30" s="64">
        <f ca="1">SUM(F17:F28)</f>
        <v>0</v>
      </c>
      <c r="G30" s="385"/>
      <c r="H30" s="64">
        <f t="shared" ref="H30:T30" ca="1" si="1">SUM(H17:H28)</f>
        <v>0</v>
      </c>
      <c r="I30" s="385"/>
      <c r="J30" s="64">
        <f t="shared" ca="1" si="1"/>
        <v>0</v>
      </c>
      <c r="K30" s="385"/>
      <c r="L30" s="64">
        <f t="shared" ca="1" si="1"/>
        <v>0</v>
      </c>
      <c r="M30" s="385"/>
      <c r="N30" s="64">
        <f t="shared" ca="1" si="1"/>
        <v>0</v>
      </c>
      <c r="O30" s="385"/>
      <c r="P30" s="64">
        <f t="shared" ca="1" si="1"/>
        <v>0</v>
      </c>
      <c r="Q30" s="385"/>
      <c r="R30" s="64">
        <f t="shared" ca="1" si="1"/>
        <v>0</v>
      </c>
      <c r="S30" s="385"/>
      <c r="T30" s="64">
        <f t="shared" ca="1" si="1"/>
        <v>0</v>
      </c>
      <c r="U30" s="385"/>
      <c r="V30" s="64">
        <f ca="1">SUM(V17:V28)</f>
        <v>0</v>
      </c>
      <c r="W30" s="385"/>
      <c r="X30" s="64">
        <f ca="1">SUM(X17:X28)</f>
        <v>0</v>
      </c>
      <c r="Y30" s="385"/>
      <c r="Z30" s="64">
        <f ca="1">SUM(Z17:Z28)</f>
        <v>0</v>
      </c>
      <c r="AA30" s="385"/>
      <c r="AB30" s="64">
        <f ca="1">SUM(AB17:AB28)</f>
        <v>0</v>
      </c>
      <c r="AC30" s="385"/>
      <c r="AD30" s="64">
        <f ca="1">SUM(AD17:AD28)</f>
        <v>0</v>
      </c>
      <c r="AE30" s="386"/>
      <c r="AF30" s="366"/>
      <c r="AG30" s="387">
        <f ca="1">SUM(B30,D30,F30,H30,J30,L30,N30,P30,R30,T30,V30,X30,Z30,AB30,AD30)</f>
        <v>0</v>
      </c>
      <c r="AH30" s="364"/>
    </row>
    <row r="31" spans="1:34" s="4" customFormat="1" ht="15" customHeight="1" x14ac:dyDescent="0.2">
      <c r="A31" s="384" t="s">
        <v>235</v>
      </c>
      <c r="B31" s="64">
        <f ca="1">ROUND(((T.ProdStunden.Bereich/100)*IFERROR(INDEX(EB.Projekte.ganzerBereich,B$8,6),0))/12*COUNTIF(B17:B28,"&gt;0")*1440,0)/1440</f>
        <v>0</v>
      </c>
      <c r="C31" s="385"/>
      <c r="D31" s="64">
        <f ca="1">ROUND(((T.ProdStunden.Bereich/100)*IFERROR(INDEX(EB.Projekte.ganzerBereich,D$8,6),0))/12*COUNTIF(D17:D28,"&gt;0")*1440,0)/1440</f>
        <v>0</v>
      </c>
      <c r="E31" s="385"/>
      <c r="F31" s="64">
        <f ca="1">ROUND(((T.ProdStunden.Bereich/100)*IFERROR(INDEX(EB.Projekte.ganzerBereich,F$8,6),0))/12*COUNTIF(F17:F28,"&gt;0")*1440,0)/1440</f>
        <v>0</v>
      </c>
      <c r="G31" s="385"/>
      <c r="H31" s="64">
        <f ca="1">ROUND(((T.ProdStunden.Bereich/100)*IFERROR(INDEX(EB.Projekte.ganzerBereich,H$8,6),0))/12*COUNTIF(H17:H28,"&gt;0")*1440,0)/1440</f>
        <v>0</v>
      </c>
      <c r="I31" s="385"/>
      <c r="J31" s="64">
        <f ca="1">ROUND(((T.ProdStunden.Bereich/100)*IFERROR(INDEX(EB.Projekte.ganzerBereich,J$8,6),0))/12*COUNTIF(J17:J28,"&gt;0")*1440,0)/1440</f>
        <v>0</v>
      </c>
      <c r="K31" s="385"/>
      <c r="L31" s="64">
        <f ca="1">ROUND(((T.ProdStunden.Bereich/100)*IFERROR(INDEX(EB.Projekte.ganzerBereich,L$8,6),0))/12*COUNTIF(L17:L28,"&gt;0")*1440,0)/1440</f>
        <v>0</v>
      </c>
      <c r="M31" s="385"/>
      <c r="N31" s="64">
        <f ca="1">ROUND(((T.ProdStunden.Bereich/100)*IFERROR(INDEX(EB.Projekte.ganzerBereich,N$8,6),0))/12*COUNTIF(N17:N28,"&gt;0")*1440,0)/1440</f>
        <v>0</v>
      </c>
      <c r="O31" s="385"/>
      <c r="P31" s="64">
        <f ca="1">ROUND(((T.ProdStunden.Bereich/100)*IFERROR(INDEX(EB.Projekte.ganzerBereich,P$8,6),0))/12*COUNTIF(P17:P28,"&gt;0")*1440,0)/1440</f>
        <v>0</v>
      </c>
      <c r="Q31" s="385"/>
      <c r="R31" s="64">
        <f ca="1">ROUND(((T.ProdStunden.Bereich/100)*IFERROR(INDEX(EB.Projekte.ganzerBereich,R$8,6),0))/12*COUNTIF(R17:R28,"&gt;0")*1440,0)/1440</f>
        <v>0</v>
      </c>
      <c r="S31" s="385"/>
      <c r="T31" s="64">
        <f ca="1">ROUND(((T.ProdStunden.Bereich/100)*IFERROR(INDEX(EB.Projekte.ganzerBereich,T$8,6),0))/12*COUNTIF(T17:T28,"&gt;0")*1440,0)/1440</f>
        <v>0</v>
      </c>
      <c r="U31" s="385"/>
      <c r="V31" s="64">
        <f ca="1">ROUND(((T.ProdStunden.Bereich/100)*IFERROR(INDEX(EB.Projekte.ganzerBereich,V$8,6),0))/12*COUNTIF(V17:V28,"&gt;0")*1440,0)/1440</f>
        <v>0</v>
      </c>
      <c r="W31" s="385"/>
      <c r="X31" s="64">
        <f ca="1">ROUND(((T.ProdStunden.Bereich/100)*IFERROR(INDEX(EB.Projekte.ganzerBereich,X$8,6),0))/12*COUNTIF(X17:X28,"&gt;0")*1440,0)/1440</f>
        <v>0</v>
      </c>
      <c r="Y31" s="385"/>
      <c r="Z31" s="64">
        <f ca="1">ROUND(((T.ProdStunden.Bereich/100)*IFERROR(INDEX(EB.Projekte.ganzerBereich,Z$8,6),0))/12*COUNTIF(Z17:Z28,"&gt;0")*1440,0)/1440</f>
        <v>0</v>
      </c>
      <c r="AA31" s="385"/>
      <c r="AB31" s="64">
        <f ca="1">ROUND(((T.ProdStunden.Bereich/100)*IFERROR(INDEX(EB.Projekte.ganzerBereich,AB$8,6),0))/12*COUNTIF(AB17:AB28,"&gt;0")*1440,0)/1440</f>
        <v>0</v>
      </c>
      <c r="AC31" s="385"/>
      <c r="AD31" s="64">
        <f ca="1">ROUND(((T.ProdStunden.Bereich/100)*IFERROR(INDEX(EB.Projekte.ganzerBereich,AD$8,6),0))/12*COUNTIF(AD17:AD28,"&gt;0")*1440,0)/1440</f>
        <v>0</v>
      </c>
      <c r="AE31" s="386"/>
      <c r="AF31" s="366"/>
      <c r="AG31" s="387">
        <f ca="1">SUM(B31,D31,F31,H31,J31,L31,N31,P31,R31,T31,V31,X31,Z31,AB31,AD31)</f>
        <v>0</v>
      </c>
      <c r="AH31" s="364"/>
    </row>
    <row r="32" spans="1:34" s="4" customFormat="1" ht="15" customHeight="1" x14ac:dyDescent="0.2">
      <c r="A32" s="384" t="s">
        <v>236</v>
      </c>
      <c r="B32" s="65">
        <f ca="1">B30-B31</f>
        <v>0</v>
      </c>
      <c r="C32" s="385"/>
      <c r="D32" s="65">
        <f ca="1">D30-D31</f>
        <v>0</v>
      </c>
      <c r="E32" s="385"/>
      <c r="F32" s="65">
        <f ca="1">F30-F31</f>
        <v>0</v>
      </c>
      <c r="G32" s="385"/>
      <c r="H32" s="65">
        <f ca="1">H30-H31</f>
        <v>0</v>
      </c>
      <c r="I32" s="385"/>
      <c r="J32" s="65">
        <f ca="1">J30-J31</f>
        <v>0</v>
      </c>
      <c r="K32" s="385"/>
      <c r="L32" s="65">
        <f ca="1">L30-L31</f>
        <v>0</v>
      </c>
      <c r="M32" s="385"/>
      <c r="N32" s="65">
        <f ca="1">N30-N31</f>
        <v>0</v>
      </c>
      <c r="O32" s="385"/>
      <c r="P32" s="65">
        <f ca="1">P30-P31</f>
        <v>0</v>
      </c>
      <c r="Q32" s="385"/>
      <c r="R32" s="65">
        <f ca="1">R30-R31</f>
        <v>0</v>
      </c>
      <c r="S32" s="385"/>
      <c r="T32" s="65">
        <f ca="1">T30-T31</f>
        <v>0</v>
      </c>
      <c r="U32" s="385"/>
      <c r="V32" s="65">
        <f ca="1">V30-V31</f>
        <v>0</v>
      </c>
      <c r="W32" s="385"/>
      <c r="X32" s="65">
        <f ca="1">X30-X31</f>
        <v>0</v>
      </c>
      <c r="Y32" s="385"/>
      <c r="Z32" s="65">
        <f ca="1">Z30-Z31</f>
        <v>0</v>
      </c>
      <c r="AA32" s="385"/>
      <c r="AB32" s="65">
        <f ca="1">AB30-AB31</f>
        <v>0</v>
      </c>
      <c r="AC32" s="385"/>
      <c r="AD32" s="65">
        <f ca="1">AD30-AD31</f>
        <v>0</v>
      </c>
      <c r="AE32" s="386"/>
      <c r="AF32" s="366"/>
      <c r="AG32" s="388">
        <f ca="1">SUM(B32,D32,F32,H32,J32,L32,N32,P32,R32,T32,V32,X32,Z32,AB32,AD32)</f>
        <v>0</v>
      </c>
      <c r="AH32" s="364"/>
    </row>
    <row r="33" spans="1:37" s="4" customFormat="1" ht="11.25" customHeight="1" x14ac:dyDescent="0.2">
      <c r="A33" s="383"/>
      <c r="B33" s="378"/>
      <c r="C33" s="378"/>
      <c r="D33" s="378"/>
      <c r="E33" s="378"/>
      <c r="F33" s="378"/>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66"/>
      <c r="AF33" s="366"/>
      <c r="AG33" s="366"/>
      <c r="AH33" s="366"/>
    </row>
    <row r="34" spans="1:37" s="4" customFormat="1" ht="15" customHeight="1" x14ac:dyDescent="0.2">
      <c r="A34" s="389" t="s">
        <v>0</v>
      </c>
      <c r="B34" s="390">
        <f ca="1">SUM(B17:B28)</f>
        <v>0</v>
      </c>
      <c r="C34" s="391"/>
      <c r="D34" s="390">
        <f ca="1">SUM(D17:D28)</f>
        <v>0</v>
      </c>
      <c r="E34" s="391"/>
      <c r="F34" s="390">
        <f ca="1">SUM(F17:F28)</f>
        <v>0</v>
      </c>
      <c r="G34" s="391"/>
      <c r="H34" s="390">
        <f ca="1">SUM(H17:H28)</f>
        <v>0</v>
      </c>
      <c r="I34" s="391"/>
      <c r="J34" s="390">
        <f ca="1">SUM(J17:J28)</f>
        <v>0</v>
      </c>
      <c r="K34" s="391"/>
      <c r="L34" s="390">
        <f ca="1">SUM(L17:L28)</f>
        <v>0</v>
      </c>
      <c r="M34" s="391"/>
      <c r="N34" s="390">
        <f ca="1">SUM(N17:N28)</f>
        <v>0</v>
      </c>
      <c r="O34" s="391"/>
      <c r="P34" s="390">
        <f ca="1">SUM(P17:P28)</f>
        <v>0</v>
      </c>
      <c r="Q34" s="391"/>
      <c r="R34" s="390">
        <f ca="1">SUM(R17:R28)</f>
        <v>0</v>
      </c>
      <c r="S34" s="391"/>
      <c r="T34" s="390">
        <f ca="1">SUM(T17:T28)</f>
        <v>0</v>
      </c>
      <c r="U34" s="392"/>
      <c r="V34" s="390">
        <f ca="1">SUM(V17:V28)</f>
        <v>0</v>
      </c>
      <c r="W34" s="392"/>
      <c r="X34" s="390">
        <f ca="1">SUM(X17:X28)</f>
        <v>0</v>
      </c>
      <c r="Y34" s="392"/>
      <c r="Z34" s="390">
        <f ca="1">SUM(Z17:Z28)</f>
        <v>0</v>
      </c>
      <c r="AA34" s="392"/>
      <c r="AB34" s="390">
        <f ca="1">SUM(AB17:AB28)</f>
        <v>0</v>
      </c>
      <c r="AC34" s="392"/>
      <c r="AD34" s="390">
        <f ca="1">SUM(AD17:AD28)</f>
        <v>0</v>
      </c>
      <c r="AE34" s="386"/>
      <c r="AF34" s="366"/>
      <c r="AG34" s="387">
        <f ca="1">SUM(B34,D34,F34,H34,J34,L34,N34,P34,R34,T34,V34,X34,Z34,AB34,AD34)</f>
        <v>0</v>
      </c>
      <c r="AH34" s="364"/>
    </row>
    <row r="35" spans="1:37" s="4" customFormat="1" ht="11.25" customHeight="1" x14ac:dyDescent="0.2">
      <c r="A35" s="393"/>
      <c r="B35" s="394"/>
      <c r="C35" s="394"/>
      <c r="D35" s="394"/>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5"/>
      <c r="AG35" s="394"/>
      <c r="AH35" s="364"/>
    </row>
    <row r="36" spans="1:37" ht="57" customHeight="1" x14ac:dyDescent="0.2">
      <c r="A36" s="396" t="s">
        <v>228</v>
      </c>
      <c r="B36" s="516"/>
      <c r="C36" s="523"/>
      <c r="D36" s="523"/>
      <c r="E36" s="523"/>
      <c r="F36" s="523"/>
      <c r="G36" s="523"/>
      <c r="H36" s="394"/>
      <c r="I36" s="394"/>
      <c r="J36" s="396" t="s">
        <v>234</v>
      </c>
      <c r="K36" s="516"/>
      <c r="L36" s="516"/>
      <c r="M36" s="516"/>
      <c r="N36" s="516"/>
      <c r="O36" s="396"/>
      <c r="P36" s="396"/>
      <c r="Q36" s="396"/>
      <c r="R36" s="396"/>
      <c r="S36" s="396"/>
      <c r="T36" s="396"/>
      <c r="U36" s="396"/>
      <c r="V36" s="396"/>
      <c r="W36" s="394"/>
      <c r="X36" s="394"/>
      <c r="Y36" s="394"/>
      <c r="Z36" s="394"/>
      <c r="AA36" s="394"/>
      <c r="AB36" s="394"/>
      <c r="AC36" s="394"/>
      <c r="AD36" s="394"/>
      <c r="AE36" s="364"/>
      <c r="AF36" s="366"/>
      <c r="AG36" s="364"/>
      <c r="AH36" s="364"/>
      <c r="AI36" s="4"/>
      <c r="AJ36" s="4"/>
      <c r="AK36" s="4"/>
    </row>
    <row r="37" spans="1:37" ht="11.25" customHeight="1" x14ac:dyDescent="0.2">
      <c r="A37" s="394"/>
      <c r="B37" s="394"/>
      <c r="C37" s="394"/>
      <c r="D37" s="394"/>
      <c r="E37" s="394"/>
      <c r="F37" s="394"/>
      <c r="G37" s="394"/>
      <c r="H37" s="394"/>
      <c r="I37" s="394"/>
      <c r="J37" s="394"/>
      <c r="K37" s="394"/>
      <c r="L37" s="394"/>
      <c r="M37" s="394"/>
      <c r="N37" s="394"/>
      <c r="O37" s="394"/>
      <c r="P37" s="394"/>
      <c r="Q37" s="394"/>
      <c r="R37" s="394"/>
      <c r="S37" s="394"/>
      <c r="T37" s="394"/>
      <c r="U37" s="394"/>
      <c r="V37" s="394"/>
      <c r="W37" s="394"/>
      <c r="X37" s="394"/>
      <c r="Y37" s="394"/>
      <c r="Z37" s="394"/>
      <c r="AA37" s="394"/>
      <c r="AB37" s="394"/>
      <c r="AC37" s="394"/>
      <c r="AD37" s="394"/>
      <c r="AE37" s="364"/>
      <c r="AF37" s="366"/>
      <c r="AG37" s="364"/>
      <c r="AH37" s="364"/>
      <c r="AI37" s="4"/>
      <c r="AJ37" s="4"/>
      <c r="AK37" s="4"/>
    </row>
    <row r="38" spans="1:37" ht="11.25" customHeight="1" x14ac:dyDescent="0.2">
      <c r="A38" s="393"/>
      <c r="B38" s="394"/>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5"/>
      <c r="AG38" s="394"/>
      <c r="AH38" s="364"/>
      <c r="AI38" s="4"/>
      <c r="AJ38" s="4"/>
      <c r="AK38" s="4"/>
    </row>
    <row r="39" spans="1:37" x14ac:dyDescent="0.2">
      <c r="AH39" s="4"/>
      <c r="AI39" s="4"/>
      <c r="AJ39" s="4"/>
      <c r="AK39" s="4"/>
    </row>
    <row r="41" spans="1:37" x14ac:dyDescent="0.2">
      <c r="B41" s="7"/>
    </row>
    <row r="60" spans="25:25" ht="14.25" customHeight="1" x14ac:dyDescent="0.2">
      <c r="Y60" s="2"/>
    </row>
  </sheetData>
  <sheetProtection sheet="1" objects="1" scenarios="1"/>
  <mergeCells count="16">
    <mergeCell ref="E1:K1"/>
    <mergeCell ref="K36:N36"/>
    <mergeCell ref="B7:D7"/>
    <mergeCell ref="B2:D2"/>
    <mergeCell ref="B3:D3"/>
    <mergeCell ref="B4:D4"/>
    <mergeCell ref="B5:D5"/>
    <mergeCell ref="B6:D6"/>
    <mergeCell ref="L2:M2"/>
    <mergeCell ref="B36:G36"/>
    <mergeCell ref="E2:J2"/>
    <mergeCell ref="E3:J3"/>
    <mergeCell ref="E4:J4"/>
    <mergeCell ref="E5:J5"/>
    <mergeCell ref="E6:J6"/>
    <mergeCell ref="E7:J7"/>
  </mergeCells>
  <phoneticPr fontId="5" type="noConversion"/>
  <conditionalFormatting sqref="B32 F32 H32 J32 L32 N32 P32 R32 T32 V32 X32 Z32 AB32 AD32 D32 AG32">
    <cfRule type="expression" dxfId="5" priority="438" stopIfTrue="1">
      <formula>B$32&lt;0</formula>
    </cfRule>
  </conditionalFormatting>
  <conditionalFormatting sqref="C17:C28 AE17:AE28 AC17:AC28 AA17:AA28 Y17:Y28 W17:W28 U17:U28 S17:S28 E17:E28 G17:G28 I17:I28 K17:K28 M17:M28 O17:O28 Q17:Q28">
    <cfRule type="expression" dxfId="4" priority="297">
      <formula>C17&lt;0</formula>
    </cfRule>
  </conditionalFormatting>
  <conditionalFormatting sqref="B9:B34 D9:D34 F9:F34 H9:H34 J9:J34 L9:L34 N9:N34 P9:P34 R9:R34 T9:T34 V9:V34 X9:X34 Z9:Z34 AB9:AB34 AD9:AD34">
    <cfRule type="expression" dxfId="3" priority="4">
      <formula>B$8=""</formula>
    </cfRule>
  </conditionalFormatting>
  <conditionalFormatting sqref="C9:C34 S9:S34 U9:U34 W9:W34 Y9:Y34 AA9:AA34 AC9:AC34 AE9:AE34 E9:E34 G9:G34 I9:I34 K9:K34 M9:M34 O9:O34 Q9:Q34">
    <cfRule type="expression" dxfId="2" priority="6">
      <formula>B$8=""</formula>
    </cfRule>
  </conditionalFormatting>
  <conditionalFormatting sqref="A11:A15 A17:A28 A30:A32 A34">
    <cfRule type="expression" dxfId="1" priority="2">
      <formula>$B$8=""</formula>
    </cfRule>
  </conditionalFormatting>
  <conditionalFormatting sqref="D9 D17:D28 F9 F17:F28 H9 H17:H28 J9 J17:J28 L9 L17:L28 N9 N17:N28 P9 P17:P28 R9 R17:R28 T9 T17:T28 V9 V17:V28 X9 X17:X28 Z9 Z17:Z28 AB9 AB17:AB28 AD9 AD17:AD28">
    <cfRule type="expression" dxfId="0" priority="3">
      <formula>AND(B$8&lt;&gt;"",D$8="")</formula>
    </cfRule>
  </conditionalFormatting>
  <printOptions horizontalCentered="1"/>
  <pageMargins left="0.19685039370078741" right="0.19685039370078741" top="0.39370078740157483" bottom="0.39370078740157483" header="0.31496062992125984" footer="0.19685039370078741"/>
  <pageSetup paperSize="9" scale="69" orientation="landscape" blackAndWhite="1" horizontalDpi="4294967292" r:id="rId1"/>
  <headerFooter>
    <oddFooter>&amp;L&amp;"Arial,Standard"&amp;11&amp;A&amp;R&amp;"Arial,Standard"&amp;11&amp;P / &amp;N</oddFooter>
  </headerFooter>
  <ignoredErrors>
    <ignoredError sqref="E9:AC14 AD9:AD14 E16:AC16 AD16" formula="1"/>
  </ignoredErrors>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5">
    <pageSetUpPr fitToPage="1"/>
  </sheetPr>
  <dimension ref="A1:AJ25"/>
  <sheetViews>
    <sheetView showGridLines="0" workbookViewId="0">
      <selection activeCell="A2" sqref="A2"/>
    </sheetView>
  </sheetViews>
  <sheetFormatPr baseColWidth="10" defaultColWidth="11" defaultRowHeight="12.75" x14ac:dyDescent="0.2"/>
  <cols>
    <col min="1" max="1" width="37.5" style="9" bestFit="1" customWidth="1"/>
    <col min="2" max="2" width="1.625" style="9" bestFit="1" customWidth="1"/>
    <col min="3" max="3" width="35.125" style="9" bestFit="1" customWidth="1"/>
    <col min="4" max="4" width="1.625" style="9" bestFit="1" customWidth="1"/>
    <col min="5" max="5" width="2.625" style="9" bestFit="1" customWidth="1"/>
    <col min="6" max="6" width="1.625" style="9" bestFit="1" customWidth="1"/>
    <col min="7" max="7" width="23.5" style="9" bestFit="1" customWidth="1"/>
    <col min="8" max="8" width="1.625" style="9" bestFit="1" customWidth="1"/>
    <col min="9" max="9" width="10.375" style="9" bestFit="1" customWidth="1"/>
    <col min="10" max="10" width="6.125" style="9" customWidth="1"/>
    <col min="11" max="11" width="2.375" style="9" bestFit="1" customWidth="1"/>
    <col min="12" max="12" width="2.625" style="9" bestFit="1" customWidth="1"/>
    <col min="13" max="13" width="2.375" style="9" bestFit="1" customWidth="1"/>
    <col min="14" max="14" width="16.25" style="9" bestFit="1" customWidth="1"/>
    <col min="15" max="15" width="4.25" style="9" bestFit="1" customWidth="1"/>
    <col min="16" max="16" width="4.75" style="9" customWidth="1"/>
    <col min="17" max="17" width="2.375" style="9" customWidth="1"/>
    <col min="18" max="18" width="23.5" style="9" bestFit="1" customWidth="1"/>
    <col min="19" max="19" width="2.375" style="9" customWidth="1"/>
    <col min="20" max="20" width="4.25" style="9" bestFit="1" customWidth="1"/>
    <col min="21" max="21" width="1.625" style="9" bestFit="1" customWidth="1"/>
    <col min="22" max="22" width="5.75" bestFit="1" customWidth="1"/>
    <col min="23" max="23" width="1.625" bestFit="1" customWidth="1"/>
    <col min="24" max="24" width="18.875" bestFit="1" customWidth="1"/>
    <col min="25" max="25" width="5.75" bestFit="1" customWidth="1"/>
    <col min="26" max="26" width="1.625" customWidth="1"/>
    <col min="27" max="27" width="20.75" bestFit="1" customWidth="1"/>
    <col min="28" max="28" width="5.125" bestFit="1" customWidth="1"/>
    <col min="29" max="29" width="3.5" style="98" bestFit="1" customWidth="1"/>
    <col min="30" max="30" width="1.625" customWidth="1"/>
    <col min="31" max="31" width="5.75" style="9" customWidth="1"/>
    <col min="32" max="32" width="1.625" style="9" bestFit="1" customWidth="1"/>
    <col min="33" max="33" width="4.875" style="9" customWidth="1"/>
    <col min="34" max="34" width="1.625" style="9" bestFit="1" customWidth="1"/>
    <col min="37" max="16384" width="11" style="9"/>
  </cols>
  <sheetData>
    <row r="1" spans="1:34" s="67" customFormat="1" ht="35.25" customHeight="1" x14ac:dyDescent="0.2">
      <c r="A1" s="536" t="s">
        <v>12</v>
      </c>
      <c r="B1" s="536"/>
      <c r="C1" s="536"/>
      <c r="D1" s="536"/>
      <c r="E1" s="536"/>
      <c r="F1" s="536"/>
      <c r="G1" s="536"/>
      <c r="H1" s="536"/>
      <c r="I1" s="536"/>
      <c r="J1" s="536"/>
      <c r="K1" s="536"/>
      <c r="L1" s="536"/>
      <c r="M1" s="536"/>
      <c r="N1" s="536"/>
      <c r="O1" s="536"/>
      <c r="P1" s="536"/>
      <c r="Q1" s="536"/>
      <c r="R1" s="536"/>
      <c r="S1" s="536"/>
      <c r="T1" s="536"/>
      <c r="V1" s="68"/>
      <c r="W1" s="68"/>
      <c r="X1" s="68"/>
      <c r="Y1" s="68"/>
      <c r="Z1" s="68"/>
      <c r="AA1" s="68"/>
      <c r="AB1" s="68"/>
      <c r="AC1" s="97"/>
      <c r="AD1" s="68"/>
    </row>
    <row r="2" spans="1:34" ht="74.25" x14ac:dyDescent="0.2">
      <c r="A2" s="398" t="s">
        <v>6</v>
      </c>
      <c r="B2" s="397">
        <f ca="1">COUNTIF((OFFSET(T.AnzFakultaet,1,-1,ROWS($A:$A)-ROW(T.AnzFakultaet),1)),"&lt;&gt;")</f>
        <v>8</v>
      </c>
      <c r="C2" s="398" t="s">
        <v>7</v>
      </c>
      <c r="D2" s="397">
        <f ca="1">COUNTIF((OFFSET(T.AnzPersonalkategorie,1,-1,ROWS($A:$A)-ROW(T.AnzPersonalkategorie),1)),"&lt;&gt;")</f>
        <v>6</v>
      </c>
      <c r="E2" s="398" t="s">
        <v>1</v>
      </c>
      <c r="F2" s="397">
        <f ca="1">COUNTIF((OFFSET(T.AnzProjektart,1,-1,ROWS($A:$A)-ROW(T.AnzProjektart),1)),"&lt;&gt;")</f>
        <v>7</v>
      </c>
      <c r="G2" s="398" t="s">
        <v>20</v>
      </c>
      <c r="H2" s="397">
        <f ca="1">COUNTIF((OFFSET(T.AnzProjektartName,1,-1,ROWS($A:$A)-ROW(T.AnzProjektartName),1)),"&lt;&gt;")</f>
        <v>8</v>
      </c>
      <c r="I2" s="398" t="s">
        <v>13</v>
      </c>
      <c r="J2" s="398" t="s">
        <v>15</v>
      </c>
      <c r="K2" s="397">
        <f ca="1">COUNTIF((OFFSET(T.AnzFeiertage,1,-2,ROWS($A:$A)-ROW(T.AnzFeiertage),1)),"&gt;0")</f>
        <v>16</v>
      </c>
      <c r="L2" s="398" t="s">
        <v>9</v>
      </c>
      <c r="M2" s="397">
        <f ca="1">COUNTIF((OFFSET(T.AnzFrei_Tage,1,-1,ROWS($A:$A)-ROW(T.AnzFrei_Tage),1)),"&lt;&gt;")</f>
        <v>11</v>
      </c>
      <c r="N2" s="398" t="s">
        <v>173</v>
      </c>
      <c r="O2" s="398" t="s">
        <v>174</v>
      </c>
      <c r="P2" s="398" t="s">
        <v>175</v>
      </c>
      <c r="Q2" s="397">
        <f ca="1">COUNTIF((OFFSET(T.AnzDefinierteZeiten,1,-3,ROWS($A:$A)-ROW(T.AnzDefinierteZeiten),1)),"&lt;&gt;")</f>
        <v>3</v>
      </c>
      <c r="R2" s="398" t="s">
        <v>248</v>
      </c>
      <c r="S2" s="397">
        <f ca="1">COUNTIF((OFFSET(T.AnzWeitereAngaben,1,-1,ROWS($A:$A)-ROW(T.AnzWeitereAngaben),1)),"&lt;&gt;")</f>
        <v>1</v>
      </c>
      <c r="T2" s="398" t="s">
        <v>14</v>
      </c>
      <c r="U2" s="397">
        <f ca="1">COUNTIF((OFFSET(T.AnzWochenarbeitszeit,1,-1,ROWS($A:$A)-ROW(T.AnzWochenarbeitszeit),1)),"&lt;&gt;")</f>
        <v>2</v>
      </c>
      <c r="V2" s="398" t="s">
        <v>21</v>
      </c>
      <c r="W2" s="397">
        <f ca="1">COUNTIF((OFFSET(T.AnzProdStunden,1,-1,ROWS($A:$A)-ROW(T.AnzProdStunden),1)),"&lt;&gt;")</f>
        <v>1</v>
      </c>
      <c r="X2" s="401" t="s">
        <v>180</v>
      </c>
      <c r="Y2" s="401" t="s">
        <v>182</v>
      </c>
      <c r="Z2" s="397">
        <f ca="1">COUNTIF((OFFSET(T.AnzAbfragewerte,1,-1,ROWS($A:$A)-ROW(T.AnzAbfragewerte),1)),"&lt;&gt;")</f>
        <v>3</v>
      </c>
      <c r="AA2" s="401" t="s">
        <v>176</v>
      </c>
      <c r="AB2" s="401" t="s">
        <v>179</v>
      </c>
      <c r="AC2" s="402" t="s">
        <v>251</v>
      </c>
      <c r="AD2" s="397">
        <f ca="1">COUNTIF((OFFSET(T.DefinierteAbfragen.Knoten,1,0,ROWS($A:$A)-ROW(T.DefinierteAbfragen.Knoten),1)),"&lt;&gt;")</f>
        <v>3</v>
      </c>
      <c r="AE2" s="401" t="s">
        <v>170</v>
      </c>
      <c r="AF2" s="397">
        <f ca="1">COUNTIF((OFFSET(T.AnzJaNein,1,-1,ROWS($A:$A)-ROW(T.AnzJaNein),1)),"&lt;&gt;")</f>
        <v>2</v>
      </c>
      <c r="AG2" s="398" t="s">
        <v>144</v>
      </c>
      <c r="AH2" s="397">
        <f ca="1">COUNTIF((OFFSET(T.AnzPikett,1,-1,ROWS($A:$A)-ROW(T.AnzPikett),1)),"&lt;&gt;")</f>
        <v>4</v>
      </c>
    </row>
    <row r="3" spans="1:34" x14ac:dyDescent="0.2">
      <c r="A3" s="403" t="s">
        <v>128</v>
      </c>
      <c r="C3" s="403" t="s">
        <v>143</v>
      </c>
      <c r="E3" s="403">
        <v>1</v>
      </c>
      <c r="G3" s="403" t="s">
        <v>136</v>
      </c>
      <c r="I3" s="405">
        <v>42369</v>
      </c>
      <c r="J3" s="407">
        <v>0</v>
      </c>
      <c r="L3" s="403">
        <v>0</v>
      </c>
      <c r="N3" s="409" t="s">
        <v>8</v>
      </c>
      <c r="O3" s="411">
        <f>IF(T.50_Vetsuisse,23/24,20/24)</f>
        <v>0.83333333333333337</v>
      </c>
      <c r="P3" s="413">
        <v>0.25</v>
      </c>
      <c r="R3" s="403" t="s">
        <v>249</v>
      </c>
      <c r="T3" s="414">
        <v>1.75</v>
      </c>
      <c r="V3" s="399">
        <v>75.949305555555554</v>
      </c>
      <c r="W3" s="400"/>
      <c r="X3" s="416" t="s">
        <v>181</v>
      </c>
      <c r="Y3" s="418">
        <f>1/24*140</f>
        <v>5.833333333333333</v>
      </c>
      <c r="Z3" s="72"/>
      <c r="AA3" s="409" t="s">
        <v>177</v>
      </c>
      <c r="AB3" s="416" t="b">
        <f>AND(EB.Wochenarbeitszeit=50/24,EB.Fakultaet="Vetsuisse")</f>
        <v>0</v>
      </c>
      <c r="AC3" s="420">
        <v>0.1</v>
      </c>
      <c r="AD3" s="72"/>
      <c r="AE3" s="409" t="str">
        <f>IF(EB.Sprache="DE","Ja","Yes")</f>
        <v>Yes</v>
      </c>
      <c r="AF3" s="72"/>
      <c r="AG3" s="409" t="str">
        <f>AE4</f>
        <v>No</v>
      </c>
      <c r="AH3" s="72"/>
    </row>
    <row r="4" spans="1:34" x14ac:dyDescent="0.2">
      <c r="A4" s="422" t="s">
        <v>129</v>
      </c>
      <c r="C4" s="422" t="s">
        <v>134</v>
      </c>
      <c r="E4" s="422">
        <v>2</v>
      </c>
      <c r="G4" s="422" t="s">
        <v>137</v>
      </c>
      <c r="I4" s="423">
        <v>42370</v>
      </c>
      <c r="J4" s="424">
        <v>0</v>
      </c>
      <c r="L4" s="422">
        <v>1</v>
      </c>
      <c r="N4" s="425" t="s">
        <v>172</v>
      </c>
      <c r="O4" s="426">
        <f>20/24</f>
        <v>0.83333333333333337</v>
      </c>
      <c r="P4" s="426">
        <f>23/24</f>
        <v>0.95833333333333337</v>
      </c>
      <c r="R4" s="422"/>
      <c r="T4" s="415">
        <v>2.0833333333333335</v>
      </c>
      <c r="V4" s="9"/>
      <c r="W4" s="400"/>
      <c r="X4" s="417" t="s">
        <v>183</v>
      </c>
      <c r="Y4" s="419">
        <v>0.85</v>
      </c>
      <c r="Z4" s="9"/>
      <c r="AA4" s="425" t="s">
        <v>178</v>
      </c>
      <c r="AB4" s="427" t="b">
        <f>AND(EB.Wochenarbeitszeit=50/24,EB.Fakultaet&lt;&gt;"Vetsuisse")</f>
        <v>0</v>
      </c>
      <c r="AC4" s="428">
        <v>0</v>
      </c>
      <c r="AD4" s="9"/>
      <c r="AE4" s="410" t="str">
        <f>IF(EB.Sprache="DE","Nein","No")</f>
        <v>No</v>
      </c>
      <c r="AG4" s="425" t="s">
        <v>145</v>
      </c>
    </row>
    <row r="5" spans="1:34" x14ac:dyDescent="0.2">
      <c r="A5" s="422" t="s">
        <v>130</v>
      </c>
      <c r="C5" s="422" t="s">
        <v>135</v>
      </c>
      <c r="E5" s="422">
        <v>3</v>
      </c>
      <c r="G5" s="422" t="s">
        <v>138</v>
      </c>
      <c r="I5" s="423">
        <v>42468</v>
      </c>
      <c r="J5" s="424">
        <f>6/8.4</f>
        <v>0.7142857142857143</v>
      </c>
      <c r="L5" s="422">
        <v>2</v>
      </c>
      <c r="N5" s="425" t="s">
        <v>189</v>
      </c>
      <c r="O5" s="426"/>
      <c r="P5" s="426">
        <v>0.33333333333333331</v>
      </c>
      <c r="R5" s="422"/>
      <c r="V5" s="9"/>
      <c r="W5" s="9"/>
      <c r="X5" s="417" t="s">
        <v>260</v>
      </c>
      <c r="Y5" s="430">
        <f ca="1">IFERROR(EB.Wochenarbeitszeit*2*(EB.BG_Total/100),0)</f>
        <v>3.5</v>
      </c>
      <c r="Z5" s="9"/>
      <c r="AA5" s="410" t="s">
        <v>249</v>
      </c>
      <c r="AB5" s="417" t="b">
        <f>IFERROR(IF(FIND("ServiceCenter Irchel",EB.WeitereAngaben)&gt;0,TRUE,FALSE),FALSE)</f>
        <v>0</v>
      </c>
      <c r="AC5" s="421">
        <v>0.2</v>
      </c>
      <c r="AD5" s="9"/>
      <c r="AG5" s="425" t="s">
        <v>146</v>
      </c>
    </row>
    <row r="6" spans="1:34" x14ac:dyDescent="0.2">
      <c r="A6" s="422" t="s">
        <v>141</v>
      </c>
      <c r="C6" s="422" t="s">
        <v>185</v>
      </c>
      <c r="E6" s="422">
        <v>4</v>
      </c>
      <c r="G6" s="422" t="s">
        <v>139</v>
      </c>
      <c r="I6" s="423">
        <v>42469</v>
      </c>
      <c r="J6" s="424">
        <v>0</v>
      </c>
      <c r="L6" s="422">
        <v>3</v>
      </c>
      <c r="N6" s="423"/>
      <c r="O6" s="426"/>
      <c r="P6" s="426"/>
      <c r="R6" s="422"/>
      <c r="V6" s="9"/>
      <c r="W6" s="9"/>
      <c r="X6" s="9"/>
      <c r="Y6" s="9"/>
      <c r="Z6" s="9"/>
      <c r="AA6" s="9"/>
      <c r="AB6" s="9"/>
      <c r="AD6" s="9"/>
      <c r="AG6" s="410" t="str">
        <f>AE3</f>
        <v>Yes</v>
      </c>
    </row>
    <row r="7" spans="1:34" x14ac:dyDescent="0.2">
      <c r="A7" s="422" t="s">
        <v>131</v>
      </c>
      <c r="C7" s="422" t="s">
        <v>166</v>
      </c>
      <c r="E7" s="422">
        <v>5</v>
      </c>
      <c r="G7" s="422" t="s">
        <v>162</v>
      </c>
      <c r="I7" s="423">
        <v>42472</v>
      </c>
      <c r="J7" s="424">
        <v>0</v>
      </c>
      <c r="L7" s="422">
        <v>4</v>
      </c>
      <c r="N7" s="423"/>
      <c r="O7" s="426"/>
      <c r="P7" s="426"/>
      <c r="R7" s="422"/>
      <c r="V7" s="9"/>
      <c r="W7" s="9"/>
      <c r="X7" s="9"/>
      <c r="Y7" s="9"/>
      <c r="Z7" s="9"/>
      <c r="AA7" s="9"/>
      <c r="AB7" s="9"/>
      <c r="AD7" s="9"/>
    </row>
    <row r="8" spans="1:34" x14ac:dyDescent="0.2">
      <c r="A8" s="425" t="s">
        <v>132</v>
      </c>
      <c r="C8" s="422" t="s">
        <v>167</v>
      </c>
      <c r="E8" s="422">
        <v>6</v>
      </c>
      <c r="G8" s="422" t="s">
        <v>184</v>
      </c>
      <c r="I8" s="423">
        <v>42479</v>
      </c>
      <c r="J8" s="424">
        <v>0.5</v>
      </c>
      <c r="L8" s="422">
        <v>5</v>
      </c>
      <c r="N8" s="423"/>
      <c r="O8" s="426"/>
      <c r="P8" s="426"/>
      <c r="R8" s="422"/>
      <c r="V8" s="9"/>
      <c r="W8" s="9"/>
      <c r="X8" s="9"/>
      <c r="Y8" s="9"/>
      <c r="Z8" s="9"/>
      <c r="AA8" s="9"/>
      <c r="AB8" s="9"/>
      <c r="AD8" s="9"/>
    </row>
    <row r="9" spans="1:34" x14ac:dyDescent="0.2">
      <c r="A9" s="422" t="s">
        <v>142</v>
      </c>
      <c r="C9" s="422"/>
      <c r="E9" s="422">
        <v>7</v>
      </c>
      <c r="G9" s="429" t="s">
        <v>256</v>
      </c>
      <c r="I9" s="423">
        <v>42490</v>
      </c>
      <c r="J9" s="424">
        <v>0</v>
      </c>
      <c r="L9" s="422">
        <v>6</v>
      </c>
      <c r="N9" s="423"/>
      <c r="O9" s="426"/>
      <c r="P9" s="426"/>
      <c r="R9" s="429"/>
      <c r="V9" s="9"/>
      <c r="W9" s="9"/>
      <c r="X9" s="9"/>
      <c r="Y9" s="9"/>
      <c r="Z9" s="9"/>
      <c r="AA9" s="9"/>
      <c r="AB9" s="9"/>
      <c r="AD9" s="9"/>
    </row>
    <row r="10" spans="1:34" x14ac:dyDescent="0.2">
      <c r="A10" s="422" t="s">
        <v>133</v>
      </c>
      <c r="C10" s="422"/>
      <c r="E10" s="422"/>
      <c r="G10" s="429" t="s">
        <v>140</v>
      </c>
      <c r="I10" s="423">
        <v>42509</v>
      </c>
      <c r="J10" s="424">
        <f>6/8.4</f>
        <v>0.7142857142857143</v>
      </c>
      <c r="L10" s="422">
        <v>7</v>
      </c>
      <c r="N10" s="423"/>
      <c r="O10" s="426"/>
      <c r="P10" s="426"/>
      <c r="R10" s="429"/>
      <c r="V10" s="9"/>
      <c r="W10" s="9"/>
      <c r="X10" s="9"/>
      <c r="Y10" s="9"/>
      <c r="Z10" s="9"/>
      <c r="AA10" s="9"/>
      <c r="AB10" s="9"/>
      <c r="AD10" s="9"/>
    </row>
    <row r="11" spans="1:34" x14ac:dyDescent="0.2">
      <c r="A11" s="422"/>
      <c r="C11" s="422"/>
      <c r="E11" s="422"/>
      <c r="G11" s="422"/>
      <c r="I11" s="423">
        <v>42510</v>
      </c>
      <c r="J11" s="424">
        <v>0</v>
      </c>
      <c r="L11" s="422">
        <v>8</v>
      </c>
      <c r="N11" s="423"/>
      <c r="O11" s="426"/>
      <c r="P11" s="426"/>
      <c r="R11" s="422"/>
      <c r="V11" s="9"/>
      <c r="W11" s="9"/>
      <c r="X11" s="9"/>
      <c r="Y11" s="9"/>
      <c r="Z11" s="9"/>
      <c r="AA11" s="9"/>
      <c r="AB11" s="9"/>
      <c r="AD11" s="9"/>
    </row>
    <row r="12" spans="1:34" x14ac:dyDescent="0.2">
      <c r="A12" s="422"/>
      <c r="C12" s="422"/>
      <c r="E12" s="422"/>
      <c r="G12" s="422"/>
      <c r="I12" s="423">
        <v>42521</v>
      </c>
      <c r="J12" s="424">
        <v>0</v>
      </c>
      <c r="L12" s="422">
        <v>9</v>
      </c>
      <c r="N12" s="423"/>
      <c r="O12" s="426"/>
      <c r="P12" s="426"/>
      <c r="R12" s="422"/>
      <c r="V12" s="9"/>
      <c r="W12" s="9"/>
      <c r="X12" s="9"/>
      <c r="Y12" s="9"/>
      <c r="Z12" s="9"/>
      <c r="AA12" s="9"/>
      <c r="AB12" s="9"/>
      <c r="AD12" s="9"/>
    </row>
    <row r="13" spans="1:34" x14ac:dyDescent="0.2">
      <c r="A13" s="422"/>
      <c r="C13" s="422"/>
      <c r="E13" s="422"/>
      <c r="G13" s="422"/>
      <c r="I13" s="423">
        <v>42582</v>
      </c>
      <c r="J13" s="424">
        <v>0</v>
      </c>
      <c r="L13" s="422">
        <v>10</v>
      </c>
      <c r="N13" s="423"/>
      <c r="O13" s="426"/>
      <c r="P13" s="426"/>
      <c r="R13" s="422"/>
      <c r="V13" s="9"/>
      <c r="W13" s="9"/>
      <c r="X13" s="9"/>
      <c r="Y13" s="9"/>
      <c r="Z13" s="9"/>
      <c r="AA13" s="9"/>
      <c r="AB13" s="9"/>
      <c r="AD13" s="9"/>
    </row>
    <row r="14" spans="1:34" x14ac:dyDescent="0.2">
      <c r="A14" s="422"/>
      <c r="C14" s="422"/>
      <c r="E14" s="422"/>
      <c r="G14" s="422"/>
      <c r="I14" s="423">
        <v>42626</v>
      </c>
      <c r="J14" s="424">
        <v>0.5</v>
      </c>
      <c r="L14" s="422"/>
      <c r="N14" s="423"/>
      <c r="O14" s="426"/>
      <c r="P14" s="426"/>
      <c r="R14" s="422"/>
      <c r="V14" s="9"/>
      <c r="W14" s="9"/>
      <c r="X14" s="9"/>
      <c r="Y14" s="9"/>
      <c r="Z14" s="9"/>
      <c r="AA14" s="9"/>
      <c r="AB14" s="9"/>
      <c r="AD14" s="9"/>
    </row>
    <row r="15" spans="1:34" x14ac:dyDescent="0.2">
      <c r="A15" s="422"/>
      <c r="C15" s="422"/>
      <c r="E15" s="422"/>
      <c r="G15" s="422"/>
      <c r="I15" s="423">
        <v>42727</v>
      </c>
      <c r="J15" s="424">
        <v>0.5</v>
      </c>
      <c r="L15" s="422"/>
      <c r="N15" s="423"/>
      <c r="O15" s="426"/>
      <c r="P15" s="426"/>
      <c r="R15" s="422"/>
      <c r="V15" s="9"/>
      <c r="W15" s="9"/>
      <c r="X15" s="9"/>
      <c r="Y15" s="9"/>
      <c r="Z15" s="9"/>
      <c r="AA15" s="9"/>
      <c r="AB15" s="9"/>
      <c r="AD15" s="9"/>
    </row>
    <row r="16" spans="1:34" x14ac:dyDescent="0.2">
      <c r="A16" s="422"/>
      <c r="C16" s="422"/>
      <c r="E16" s="422"/>
      <c r="G16" s="422"/>
      <c r="I16" s="423">
        <v>42728</v>
      </c>
      <c r="J16" s="424">
        <v>0</v>
      </c>
      <c r="L16" s="422"/>
      <c r="N16" s="423"/>
      <c r="O16" s="426"/>
      <c r="P16" s="426"/>
      <c r="R16" s="422"/>
      <c r="V16" s="9"/>
      <c r="W16" s="9"/>
      <c r="X16" s="9"/>
      <c r="Y16" s="9"/>
      <c r="Z16" s="9"/>
      <c r="AA16" s="9"/>
      <c r="AB16" s="9"/>
      <c r="AD16" s="9"/>
    </row>
    <row r="17" spans="1:30" x14ac:dyDescent="0.2">
      <c r="A17" s="422"/>
      <c r="C17" s="422"/>
      <c r="E17" s="422"/>
      <c r="G17" s="422"/>
      <c r="I17" s="423">
        <v>42729</v>
      </c>
      <c r="J17" s="424">
        <v>0</v>
      </c>
      <c r="L17" s="422"/>
      <c r="N17" s="423"/>
      <c r="O17" s="426"/>
      <c r="P17" s="426"/>
      <c r="R17" s="422"/>
      <c r="V17" s="9"/>
      <c r="W17" s="9"/>
      <c r="X17" s="9"/>
      <c r="Y17" s="9"/>
      <c r="Z17" s="9"/>
      <c r="AA17" s="9"/>
      <c r="AB17" s="9"/>
      <c r="AD17" s="9"/>
    </row>
    <row r="18" spans="1:30" x14ac:dyDescent="0.2">
      <c r="A18" s="422"/>
      <c r="C18" s="422"/>
      <c r="E18" s="422"/>
      <c r="G18" s="422"/>
      <c r="I18" s="423">
        <v>42734</v>
      </c>
      <c r="J18" s="424">
        <f>6/8.4</f>
        <v>0.7142857142857143</v>
      </c>
      <c r="L18" s="422"/>
      <c r="N18" s="423"/>
      <c r="O18" s="426"/>
      <c r="P18" s="426"/>
      <c r="R18" s="422"/>
      <c r="V18" s="9"/>
      <c r="W18" s="9"/>
      <c r="X18" s="9"/>
      <c r="Y18" s="9"/>
      <c r="Z18" s="9"/>
      <c r="AA18" s="9"/>
      <c r="AB18" s="9"/>
      <c r="AD18" s="9"/>
    </row>
    <row r="19" spans="1:30" x14ac:dyDescent="0.2">
      <c r="A19" s="422"/>
      <c r="C19" s="422"/>
      <c r="E19" s="422"/>
      <c r="G19" s="422"/>
      <c r="I19" s="423"/>
      <c r="J19" s="424"/>
      <c r="L19" s="422"/>
      <c r="N19" s="423"/>
      <c r="O19" s="426"/>
      <c r="P19" s="426"/>
      <c r="R19" s="422"/>
      <c r="V19" s="9"/>
      <c r="W19" s="9"/>
      <c r="X19" s="9"/>
      <c r="Y19" s="9"/>
      <c r="Z19" s="9"/>
      <c r="AA19" s="9"/>
      <c r="AB19" s="9"/>
      <c r="AD19" s="9"/>
    </row>
    <row r="20" spans="1:30" x14ac:dyDescent="0.2">
      <c r="A20" s="422"/>
      <c r="C20" s="422"/>
      <c r="E20" s="422"/>
      <c r="G20" s="422"/>
      <c r="I20" s="423"/>
      <c r="J20" s="424"/>
      <c r="L20" s="422"/>
      <c r="N20" s="423"/>
      <c r="O20" s="426"/>
      <c r="P20" s="426"/>
      <c r="R20" s="422"/>
      <c r="V20" s="9"/>
      <c r="W20" s="9"/>
      <c r="X20" s="9"/>
      <c r="Y20" s="9"/>
      <c r="Z20" s="9"/>
      <c r="AA20" s="9"/>
      <c r="AB20" s="9"/>
      <c r="AD20" s="9"/>
    </row>
    <row r="21" spans="1:30" x14ac:dyDescent="0.2">
      <c r="A21" s="422"/>
      <c r="C21" s="422"/>
      <c r="E21" s="422"/>
      <c r="G21" s="422"/>
      <c r="I21" s="423"/>
      <c r="J21" s="424"/>
      <c r="L21" s="422"/>
      <c r="N21" s="423"/>
      <c r="O21" s="426"/>
      <c r="P21" s="426"/>
      <c r="R21" s="422"/>
      <c r="V21" s="9"/>
      <c r="W21" s="9"/>
      <c r="X21" s="9"/>
      <c r="Y21" s="9"/>
      <c r="Z21" s="9"/>
      <c r="AA21" s="9"/>
      <c r="AB21" s="9"/>
      <c r="AD21" s="9"/>
    </row>
    <row r="22" spans="1:30" x14ac:dyDescent="0.2">
      <c r="A22" s="422"/>
      <c r="C22" s="422"/>
      <c r="E22" s="422"/>
      <c r="G22" s="422"/>
      <c r="I22" s="423"/>
      <c r="J22" s="424"/>
      <c r="L22" s="422"/>
      <c r="N22" s="423"/>
      <c r="O22" s="426"/>
      <c r="P22" s="426"/>
      <c r="R22" s="422"/>
      <c r="V22" s="9"/>
      <c r="W22" s="9"/>
      <c r="X22" s="9"/>
      <c r="Y22" s="9"/>
      <c r="Z22" s="9"/>
      <c r="AA22" s="9"/>
      <c r="AB22" s="9"/>
      <c r="AD22" s="9"/>
    </row>
    <row r="23" spans="1:30" x14ac:dyDescent="0.2">
      <c r="A23" s="422"/>
      <c r="C23" s="422"/>
      <c r="E23" s="422"/>
      <c r="G23" s="422"/>
      <c r="I23" s="423"/>
      <c r="J23" s="424"/>
      <c r="L23" s="422"/>
      <c r="N23" s="423"/>
      <c r="O23" s="426"/>
      <c r="P23" s="426"/>
      <c r="R23" s="422"/>
      <c r="V23" s="9"/>
      <c r="W23" s="9"/>
      <c r="X23" s="9"/>
      <c r="Y23" s="9"/>
      <c r="Z23" s="9"/>
      <c r="AA23" s="9"/>
      <c r="AB23" s="9"/>
      <c r="AD23" s="9"/>
    </row>
    <row r="24" spans="1:30" x14ac:dyDescent="0.2">
      <c r="A24" s="404"/>
      <c r="C24" s="404"/>
      <c r="E24" s="404"/>
      <c r="G24" s="404"/>
      <c r="I24" s="406"/>
      <c r="J24" s="408"/>
      <c r="L24" s="404"/>
      <c r="N24" s="406"/>
      <c r="O24" s="412"/>
      <c r="P24" s="412"/>
      <c r="R24" s="404"/>
      <c r="V24" s="9"/>
      <c r="W24" s="9"/>
      <c r="X24" s="9"/>
      <c r="Y24" s="9"/>
      <c r="Z24" s="9"/>
      <c r="AA24" s="9"/>
      <c r="AB24" s="9"/>
      <c r="AD24" s="9"/>
    </row>
    <row r="25" spans="1:30" x14ac:dyDescent="0.2">
      <c r="V25" s="9"/>
      <c r="W25" s="9"/>
      <c r="X25" s="9"/>
      <c r="Y25" s="9"/>
      <c r="Z25" s="9"/>
      <c r="AA25" s="9"/>
      <c r="AB25" s="9"/>
      <c r="AD25" s="9"/>
    </row>
  </sheetData>
  <sheetProtection sheet="1" objects="1" scenarios="1"/>
  <sortState ref="I3:J18">
    <sortCondition ref="I3:I18"/>
  </sortState>
  <mergeCells count="1">
    <mergeCell ref="A1:T1"/>
  </mergeCells>
  <pageMargins left="0.19685039370078741" right="0.19685039370078741" top="0.39370078740157483" bottom="0.39370078740157483" header="0.31496062992125984" footer="0.19685039370078741"/>
  <pageSetup paperSize="9" scale="55" orientation="landscape" horizontalDpi="4294967294"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11231-25DB-4272-826C-39B936F838BB}">
  <sheetPr>
    <pageSetUpPr fitToPage="1"/>
  </sheetPr>
  <dimension ref="A1:AQ140"/>
  <sheetViews>
    <sheetView showGridLines="0" zoomScale="85" zoomScaleNormal="85" zoomScalePageLayoutView="85" workbookViewId="0">
      <pane xSplit="1" ySplit="10" topLeftCell="B11" activePane="bottomRight" state="frozenSplit"/>
      <selection activeCell="Q8" sqref="Q8:AF11"/>
      <selection pane="topRight" activeCell="Q8" sqref="Q8:AF11"/>
      <selection pane="bottomLeft" activeCell="Q8" sqref="Q8:AF11"/>
      <selection pane="bottomRight" activeCell="B13" sqref="B13"/>
    </sheetView>
  </sheetViews>
  <sheetFormatPr baseColWidth="10" defaultColWidth="10.75" defaultRowHeight="12.75" outlineLevelRow="1" outlineLevelCol="1" x14ac:dyDescent="0.2"/>
  <cols>
    <col min="1" max="1" width="24.5" style="50" customWidth="1"/>
    <col min="2" max="32" width="5.75" style="50" customWidth="1"/>
    <col min="33" max="33" width="24.5" style="52" customWidth="1"/>
    <col min="34" max="34" width="2.125" style="53" customWidth="1"/>
    <col min="35" max="36" width="8.125" style="50" customWidth="1"/>
    <col min="37" max="37" width="15.875" style="50" hidden="1" customWidth="1" outlineLevel="1"/>
    <col min="38" max="39" width="14.25" style="50" hidden="1" customWidth="1" outlineLevel="1"/>
    <col min="40" max="40" width="9.375" style="37" customWidth="1" collapsed="1"/>
    <col min="41" max="42" width="8.125" style="50" customWidth="1"/>
    <col min="43" max="43" width="3.75" style="50" customWidth="1"/>
    <col min="44" max="16384" width="10.75" style="50"/>
  </cols>
  <sheetData>
    <row r="1" spans="1:43" s="54" customFormat="1" ht="22.5" customHeight="1" x14ac:dyDescent="0.2">
      <c r="A1" s="181" t="str">
        <f>INDEX(EB.Monate.Bereich,MONTH(Monat.Tag1)) &amp; " " &amp; EB.Jahr</f>
        <v>January 2020</v>
      </c>
      <c r="B1" s="470" t="str">
        <f>Eingabeblatt!B1</f>
        <v>Employee Time Sheet</v>
      </c>
      <c r="C1" s="470"/>
      <c r="D1" s="470"/>
      <c r="E1" s="470"/>
      <c r="F1" s="470"/>
      <c r="G1" s="470"/>
      <c r="H1" s="470"/>
      <c r="I1" s="470"/>
      <c r="J1" s="470"/>
      <c r="K1" s="470"/>
      <c r="L1" s="470"/>
      <c r="M1" s="101"/>
      <c r="N1" s="101"/>
      <c r="O1" s="101"/>
      <c r="P1" s="101"/>
      <c r="Q1" s="101"/>
      <c r="R1" s="182"/>
      <c r="S1" s="101"/>
      <c r="T1" s="101"/>
      <c r="U1" s="101"/>
      <c r="V1" s="183"/>
      <c r="W1" s="183"/>
      <c r="X1" s="101"/>
      <c r="Y1" s="182"/>
      <c r="Z1" s="101"/>
      <c r="AA1" s="101"/>
      <c r="AB1" s="101"/>
      <c r="AC1" s="101"/>
      <c r="AD1" s="101"/>
      <c r="AE1" s="101"/>
      <c r="AF1" s="101"/>
      <c r="AG1" s="184"/>
      <c r="AH1" s="185"/>
      <c r="AI1" s="101"/>
      <c r="AJ1" s="101"/>
      <c r="AK1" s="101"/>
      <c r="AL1" s="101"/>
      <c r="AM1" s="101"/>
      <c r="AN1" s="440"/>
      <c r="AO1" s="498" t="str">
        <f>EB.Version</f>
        <v>Version 12.19</v>
      </c>
      <c r="AP1" s="498"/>
      <c r="AQ1" s="103" t="str">
        <f>EB.Sprache</f>
        <v>EN</v>
      </c>
    </row>
    <row r="2" spans="1:43" s="38" customFormat="1" ht="15" customHeight="1" x14ac:dyDescent="0.2">
      <c r="A2" s="135"/>
      <c r="B2" s="461" t="str">
        <f>Eingabeblatt!A3</f>
        <v>Name</v>
      </c>
      <c r="C2" s="474"/>
      <c r="D2" s="474"/>
      <c r="E2" s="462"/>
      <c r="F2" s="499" t="str">
        <f>IF(EB.Name="","?",EB.Name)</f>
        <v>?</v>
      </c>
      <c r="G2" s="500"/>
      <c r="H2" s="500"/>
      <c r="I2" s="500"/>
      <c r="J2" s="500"/>
      <c r="K2" s="500"/>
      <c r="L2" s="500"/>
      <c r="M2" s="500"/>
      <c r="N2" s="501"/>
      <c r="O2" s="186"/>
      <c r="P2" s="461" t="str">
        <f>Eingabeblatt!J7</f>
        <v>Employment Level (FTE) in %</v>
      </c>
      <c r="Q2" s="474"/>
      <c r="R2" s="474"/>
      <c r="S2" s="474"/>
      <c r="T2" s="474"/>
      <c r="U2" s="462"/>
      <c r="V2" s="14">
        <f>IF(INDEX(EB.EffBG.Bereich,MONTH(Monat.Tag1))="","-     ",INDEX(EB.EffBG.Bereich,MONTH(Monat.Tag1)))</f>
        <v>100</v>
      </c>
      <c r="W2" s="187"/>
      <c r="X2" s="187"/>
      <c r="Y2" s="108"/>
      <c r="Z2" s="119"/>
      <c r="AA2" s="119"/>
      <c r="AB2" s="119"/>
      <c r="AC2" s="119"/>
      <c r="AD2" s="119"/>
      <c r="AE2" s="119"/>
      <c r="AF2" s="119"/>
      <c r="AG2" s="106"/>
      <c r="AH2" s="188"/>
      <c r="AI2" s="119"/>
      <c r="AJ2" s="119"/>
      <c r="AK2" s="119"/>
      <c r="AL2" s="119"/>
      <c r="AM2" s="119"/>
      <c r="AN2" s="189"/>
      <c r="AO2" s="119"/>
      <c r="AP2" s="119"/>
      <c r="AQ2" s="119"/>
    </row>
    <row r="3" spans="1:43" s="38" customFormat="1" ht="15" customHeight="1" x14ac:dyDescent="0.2">
      <c r="A3" s="190"/>
      <c r="B3" s="461" t="str">
        <f>Eingabeblatt!H2</f>
        <v>Function</v>
      </c>
      <c r="C3" s="474"/>
      <c r="D3" s="474"/>
      <c r="E3" s="462"/>
      <c r="F3" s="483" t="str">
        <f>EB.Funktion</f>
        <v>Description of Function</v>
      </c>
      <c r="G3" s="484"/>
      <c r="H3" s="484"/>
      <c r="I3" s="484"/>
      <c r="J3" s="484"/>
      <c r="K3" s="484"/>
      <c r="L3" s="484"/>
      <c r="M3" s="484"/>
      <c r="N3" s="485"/>
      <c r="O3" s="106"/>
      <c r="P3" s="461" t="str">
        <f>Eingabeblatt!J12</f>
        <v>ø Hours per day at FTE</v>
      </c>
      <c r="Q3" s="474"/>
      <c r="R3" s="474"/>
      <c r="S3" s="474"/>
      <c r="T3" s="474"/>
      <c r="U3" s="462"/>
      <c r="V3" s="57">
        <f>IF(INDEX(EB.DurchSollTAZStd.Bereich,MONTH(Monat.Tag1))="","-     ",INDEX(EB.DurchSollTAZStd.Bereich,MONTH(Monat.Tag1)))</f>
        <v>0.35</v>
      </c>
      <c r="W3" s="191"/>
      <c r="X3" s="191"/>
      <c r="Y3" s="119"/>
      <c r="Z3" s="119"/>
      <c r="AA3" s="119"/>
      <c r="AB3" s="119"/>
      <c r="AC3" s="119"/>
      <c r="AD3" s="119"/>
      <c r="AE3" s="119"/>
      <c r="AF3" s="119"/>
      <c r="AG3" s="106"/>
      <c r="AH3" s="188"/>
      <c r="AI3" s="119"/>
      <c r="AJ3" s="119"/>
      <c r="AK3" s="119"/>
      <c r="AL3" s="119"/>
      <c r="AM3" s="119"/>
      <c r="AN3" s="189"/>
      <c r="AO3" s="119"/>
      <c r="AP3" s="119"/>
      <c r="AQ3" s="119"/>
    </row>
    <row r="4" spans="1:43" s="38" customFormat="1" ht="15" customHeight="1" x14ac:dyDescent="0.2">
      <c r="A4" s="190"/>
      <c r="B4" s="461" t="str">
        <f>Eingabeblatt!H3</f>
        <v>Institute/Department</v>
      </c>
      <c r="C4" s="474"/>
      <c r="D4" s="474"/>
      <c r="E4" s="462"/>
      <c r="F4" s="483" t="str">
        <f>EB.Institut</f>
        <v>Institute/Department Name</v>
      </c>
      <c r="G4" s="484"/>
      <c r="H4" s="484"/>
      <c r="I4" s="484"/>
      <c r="J4" s="484"/>
      <c r="K4" s="484"/>
      <c r="L4" s="484"/>
      <c r="M4" s="484"/>
      <c r="N4" s="485"/>
      <c r="O4" s="106"/>
      <c r="P4" s="497" t="str">
        <f ca="1">IF(EB.ÜZZSBerechtigt=INDEX(T.JaNein.Bereich,1,1),IF(AND(OR(AND(EB.LKgr16=INDEX(T.JaNein.Bereich,1,1),EB.LKgr16ab&gt;EOMONTH(Monat.Tag1,0)),EB.LKgr16&lt;&gt;INDEX(T.JaNein.Bereich,1,1)),Monat.AZSoll.Total&gt;0),Eingabeblatt!J6,""),"")</f>
        <v/>
      </c>
      <c r="Q4" s="497"/>
      <c r="R4" s="497"/>
      <c r="S4" s="497"/>
      <c r="T4" s="497"/>
      <c r="U4" s="497"/>
      <c r="V4" s="192" t="str">
        <f ca="1">IF(P4&lt;&gt;"",EB.ÜZZSBerechtigt,"")</f>
        <v/>
      </c>
      <c r="W4" s="119"/>
      <c r="X4" s="119"/>
      <c r="Y4" s="119"/>
      <c r="Z4" s="119"/>
      <c r="AA4" s="119"/>
      <c r="AB4" s="119"/>
      <c r="AC4" s="119"/>
      <c r="AD4" s="119"/>
      <c r="AE4" s="119"/>
      <c r="AF4" s="119"/>
      <c r="AG4" s="106"/>
      <c r="AH4" s="188"/>
      <c r="AI4" s="119"/>
      <c r="AJ4" s="119"/>
      <c r="AK4" s="119"/>
      <c r="AL4" s="119"/>
      <c r="AM4" s="119"/>
      <c r="AN4" s="189"/>
      <c r="AO4" s="119"/>
      <c r="AP4" s="119"/>
      <c r="AQ4" s="119"/>
    </row>
    <row r="5" spans="1:43" s="38" customFormat="1" ht="15" customHeight="1" x14ac:dyDescent="0.2">
      <c r="A5" s="190"/>
      <c r="B5" s="461" t="str">
        <f>Eingabeblatt!A5</f>
        <v>Employee Number</v>
      </c>
      <c r="C5" s="474"/>
      <c r="D5" s="474"/>
      <c r="E5" s="462"/>
      <c r="F5" s="483" t="str">
        <f>IF(EB.Personalnummer="","?",EB.Personalnummer)</f>
        <v>?</v>
      </c>
      <c r="G5" s="484"/>
      <c r="H5" s="484"/>
      <c r="I5" s="484"/>
      <c r="J5" s="484"/>
      <c r="K5" s="484"/>
      <c r="L5" s="484"/>
      <c r="M5" s="484"/>
      <c r="N5" s="485"/>
      <c r="O5" s="106"/>
      <c r="P5" s="110" t="str">
        <f>LEFT(Eingabeblatt!A38,SEARCH("(",Eingabeblatt!A38,1)-2) &amp; IF(MONTH(Monat.Tag1)&gt;1,IF(EB.Sprache="EN"," (changes as of "," (Veränderungen ab ") &amp; INDEX(EB.Monate.Bereich,MONTH(Monat.Tag1))  &amp; IF(EB.Sprache="EN"," have to be entered here)"," hier eintragen)"),"")</f>
        <v>Standard working hours</v>
      </c>
      <c r="Q5" s="106"/>
      <c r="R5" s="119"/>
      <c r="S5" s="119"/>
      <c r="T5" s="119"/>
      <c r="U5" s="119"/>
      <c r="V5" s="119"/>
      <c r="W5" s="119"/>
      <c r="X5" s="119"/>
      <c r="Y5" s="119"/>
      <c r="Z5" s="119"/>
      <c r="AA5" s="119"/>
      <c r="AB5" s="119"/>
      <c r="AC5" s="119"/>
      <c r="AD5" s="119"/>
      <c r="AE5" s="119"/>
      <c r="AF5" s="119" t="s">
        <v>4</v>
      </c>
      <c r="AG5" s="106"/>
      <c r="AH5" s="188"/>
      <c r="AI5" s="119"/>
      <c r="AJ5" s="119"/>
      <c r="AK5" s="119"/>
      <c r="AL5" s="119"/>
      <c r="AM5" s="119"/>
      <c r="AN5" s="189"/>
      <c r="AO5" s="119"/>
      <c r="AP5" s="119"/>
      <c r="AQ5" s="119"/>
    </row>
    <row r="6" spans="1:43" s="38" customFormat="1" ht="15" customHeight="1" x14ac:dyDescent="0.2">
      <c r="A6" s="190"/>
      <c r="B6" s="461" t="str">
        <f>Eingabeblatt!H4</f>
        <v>Faculty</v>
      </c>
      <c r="C6" s="474"/>
      <c r="D6" s="474"/>
      <c r="E6" s="462"/>
      <c r="F6" s="483" t="str">
        <f>EB.Fakultaet</f>
        <v>Select Faculty</v>
      </c>
      <c r="G6" s="484"/>
      <c r="H6" s="484"/>
      <c r="I6" s="484"/>
      <c r="J6" s="484"/>
      <c r="K6" s="484"/>
      <c r="L6" s="484"/>
      <c r="M6" s="484"/>
      <c r="N6" s="485"/>
      <c r="O6" s="106"/>
      <c r="P6" s="193" t="str">
        <f>LEFT(INDEX(EB.RAZ_Wochentage.Bereich,1),2)</f>
        <v>Mo</v>
      </c>
      <c r="Q6" s="193" t="str">
        <f>LEFT(INDEX(EB.RAZ_Wochentage.Bereich,2),2)</f>
        <v>Tu</v>
      </c>
      <c r="R6" s="193" t="str">
        <f>LEFT(INDEX(EB.RAZ_Wochentage.Bereich,3),2)</f>
        <v>We</v>
      </c>
      <c r="S6" s="193" t="str">
        <f>LEFT(INDEX(EB.RAZ_Wochentage.Bereich,4),2)</f>
        <v>Th</v>
      </c>
      <c r="T6" s="193" t="str">
        <f>LEFT(INDEX(EB.RAZ_Wochentage.Bereich,5),2)</f>
        <v>Fr</v>
      </c>
      <c r="U6" s="193" t="str">
        <f>LEFT(INDEX(EB.RAZ_Wochentage.Bereich,6),2)</f>
        <v>Sa</v>
      </c>
      <c r="V6" s="193" t="str">
        <f>LEFT(INDEX(EB.RAZ_Wochentage.Bereich,7),2)</f>
        <v>Su</v>
      </c>
      <c r="W6" s="119"/>
      <c r="X6" s="119"/>
      <c r="Y6" s="119"/>
      <c r="Z6" s="119"/>
      <c r="AA6" s="119"/>
      <c r="AB6" s="119"/>
      <c r="AC6" s="119"/>
      <c r="AD6" s="119"/>
      <c r="AE6" s="119"/>
      <c r="AF6" s="119"/>
      <c r="AG6" s="106"/>
      <c r="AH6" s="188"/>
      <c r="AI6" s="119"/>
      <c r="AJ6" s="119"/>
      <c r="AK6" s="119"/>
      <c r="AL6" s="119"/>
      <c r="AM6" s="119"/>
      <c r="AN6" s="189"/>
      <c r="AO6" s="119"/>
      <c r="AP6" s="119"/>
      <c r="AQ6" s="119"/>
    </row>
    <row r="7" spans="1:43" s="38" customFormat="1" ht="15" customHeight="1" x14ac:dyDescent="0.2">
      <c r="A7" s="190"/>
      <c r="B7" s="461" t="str">
        <f>Eingabeblatt!H5</f>
        <v>Employee Category</v>
      </c>
      <c r="C7" s="474"/>
      <c r="D7" s="474"/>
      <c r="E7" s="462"/>
      <c r="F7" s="483" t="str">
        <f>EB.Personalkategorie</f>
        <v>Select Employee Category</v>
      </c>
      <c r="G7" s="484"/>
      <c r="H7" s="484"/>
      <c r="I7" s="484"/>
      <c r="J7" s="484"/>
      <c r="K7" s="484"/>
      <c r="L7" s="484"/>
      <c r="M7" s="484"/>
      <c r="N7" s="485"/>
      <c r="O7" s="106"/>
      <c r="P7" s="194">
        <f ca="1">IF(EB.Anwendung&lt;&gt;"",IF(MONTH(Monat.Tag1)=1,INDEX(EB.RAZ1_7.Bereich,1),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1)),"")</f>
        <v>0.35</v>
      </c>
      <c r="Q7" s="194">
        <f ca="1">IF(EB.Anwendung&lt;&gt;"",IF(MONTH(Monat.Tag1)=1,INDEX(EB.RAZ1_7.Bereich,2),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2)),"")</f>
        <v>0.35</v>
      </c>
      <c r="R7" s="194">
        <f ca="1">IF(EB.Anwendung&lt;&gt;"",IF(MONTH(Monat.Tag1)=1,INDEX(EB.RAZ1_7.Bereich,3),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3)),"")</f>
        <v>0.35</v>
      </c>
      <c r="S7" s="194">
        <f ca="1">IF(EB.Anwendung&lt;&gt;"",IF(MONTH(Monat.Tag1)=1,INDEX(EB.RAZ1_7.Bereich,4),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4)),"")</f>
        <v>0.35</v>
      </c>
      <c r="T7" s="194">
        <f ca="1">IF(EB.Anwendung&lt;&gt;"",IF(MONTH(Monat.Tag1)=1,INDEX(EB.RAZ1_7.Bereich,5),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5)),"")</f>
        <v>0.35</v>
      </c>
      <c r="U7" s="194">
        <f ca="1">IF(EB.Anwendung&lt;&gt;"",IF(MONTH(Monat.Tag1)=1,INDEX(EB.RAZ1_7.Bereich,6),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6)),"")</f>
        <v>0</v>
      </c>
      <c r="V7" s="194">
        <f ca="1">IF(EB.Anwendung&lt;&gt;"",IF(MONTH(Monat.Tag1)=1,INDEX(EB.RAZ1_7.Bereich,7),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7)),"")</f>
        <v>0</v>
      </c>
      <c r="W7" s="354">
        <f ca="1">SUM(Monat.RAZ1_7.Bereich)</f>
        <v>1.75</v>
      </c>
      <c r="X7" s="119"/>
      <c r="Y7" s="119"/>
      <c r="Z7" s="119"/>
      <c r="AA7" s="119"/>
      <c r="AB7" s="119"/>
      <c r="AC7" s="119"/>
      <c r="AD7" s="119"/>
      <c r="AE7" s="119"/>
      <c r="AF7" s="119"/>
      <c r="AG7" s="106"/>
      <c r="AH7" s="188"/>
      <c r="AI7" s="119"/>
      <c r="AJ7" s="119"/>
      <c r="AK7" s="119"/>
      <c r="AL7" s="119"/>
      <c r="AM7" s="119"/>
      <c r="AN7" s="189"/>
      <c r="AO7" s="119"/>
      <c r="AP7" s="119"/>
      <c r="AQ7" s="119"/>
    </row>
    <row r="8" spans="1:43" s="38" customFormat="1" ht="11.25" customHeight="1" x14ac:dyDescent="0.2">
      <c r="A8" s="135"/>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06"/>
      <c r="AH8" s="188"/>
      <c r="AI8" s="119"/>
      <c r="AJ8" s="119"/>
      <c r="AK8" s="119"/>
      <c r="AL8" s="119"/>
      <c r="AM8" s="119"/>
      <c r="AN8" s="189"/>
      <c r="AO8" s="119"/>
      <c r="AP8" s="119"/>
      <c r="AQ8" s="119"/>
    </row>
    <row r="9" spans="1:43" s="38" customFormat="1" ht="15" customHeight="1" x14ac:dyDescent="0.2">
      <c r="A9" s="135"/>
      <c r="B9" s="195" t="str">
        <f t="shared" ref="B9:AF9" si="0">INDEX(Monat.Wochentage.Bereich,1,WEEKDAY(B10,2))</f>
        <v>We</v>
      </c>
      <c r="C9" s="195" t="str">
        <f t="shared" si="0"/>
        <v>Th</v>
      </c>
      <c r="D9" s="195" t="str">
        <f t="shared" si="0"/>
        <v>Fr</v>
      </c>
      <c r="E9" s="195" t="str">
        <f t="shared" si="0"/>
        <v>Sa</v>
      </c>
      <c r="F9" s="195" t="str">
        <f t="shared" si="0"/>
        <v>Su</v>
      </c>
      <c r="G9" s="195" t="str">
        <f t="shared" si="0"/>
        <v>Mo</v>
      </c>
      <c r="H9" s="195" t="str">
        <f t="shared" si="0"/>
        <v>Tu</v>
      </c>
      <c r="I9" s="195" t="str">
        <f t="shared" si="0"/>
        <v>We</v>
      </c>
      <c r="J9" s="195" t="str">
        <f t="shared" si="0"/>
        <v>Th</v>
      </c>
      <c r="K9" s="195" t="str">
        <f t="shared" si="0"/>
        <v>Fr</v>
      </c>
      <c r="L9" s="195" t="str">
        <f t="shared" si="0"/>
        <v>Sa</v>
      </c>
      <c r="M9" s="195" t="str">
        <f t="shared" si="0"/>
        <v>Su</v>
      </c>
      <c r="N9" s="195" t="str">
        <f t="shared" si="0"/>
        <v>Mo</v>
      </c>
      <c r="O9" s="195" t="str">
        <f t="shared" si="0"/>
        <v>Tu</v>
      </c>
      <c r="P9" s="195" t="str">
        <f t="shared" si="0"/>
        <v>We</v>
      </c>
      <c r="Q9" s="195" t="str">
        <f t="shared" si="0"/>
        <v>Th</v>
      </c>
      <c r="R9" s="195" t="str">
        <f t="shared" si="0"/>
        <v>Fr</v>
      </c>
      <c r="S9" s="195" t="str">
        <f t="shared" si="0"/>
        <v>Sa</v>
      </c>
      <c r="T9" s="195" t="str">
        <f t="shared" si="0"/>
        <v>Su</v>
      </c>
      <c r="U9" s="195" t="str">
        <f t="shared" si="0"/>
        <v>Mo</v>
      </c>
      <c r="V9" s="195" t="str">
        <f t="shared" si="0"/>
        <v>Tu</v>
      </c>
      <c r="W9" s="195" t="str">
        <f t="shared" si="0"/>
        <v>We</v>
      </c>
      <c r="X9" s="195" t="str">
        <f t="shared" si="0"/>
        <v>Th</v>
      </c>
      <c r="Y9" s="195" t="str">
        <f t="shared" si="0"/>
        <v>Fr</v>
      </c>
      <c r="Z9" s="195" t="str">
        <f t="shared" si="0"/>
        <v>Sa</v>
      </c>
      <c r="AA9" s="195" t="str">
        <f t="shared" si="0"/>
        <v>Su</v>
      </c>
      <c r="AB9" s="195" t="str">
        <f t="shared" si="0"/>
        <v>Mo</v>
      </c>
      <c r="AC9" s="195" t="str">
        <f t="shared" si="0"/>
        <v>Tu</v>
      </c>
      <c r="AD9" s="195" t="str">
        <f t="shared" si="0"/>
        <v>We</v>
      </c>
      <c r="AE9" s="195" t="str">
        <f t="shared" si="0"/>
        <v>Th</v>
      </c>
      <c r="AF9" s="195" t="str">
        <f t="shared" si="0"/>
        <v>Fr</v>
      </c>
      <c r="AG9" s="106"/>
      <c r="AH9" s="188"/>
      <c r="AI9" s="119"/>
      <c r="AJ9" s="119"/>
      <c r="AK9" s="119"/>
      <c r="AL9" s="119"/>
      <c r="AM9" s="119"/>
      <c r="AN9" s="189"/>
      <c r="AO9" s="119"/>
      <c r="AP9" s="119"/>
      <c r="AQ9" s="119"/>
    </row>
    <row r="10" spans="1:43" s="59" customFormat="1" ht="25.5" x14ac:dyDescent="0.2">
      <c r="A10" s="196" t="s">
        <v>73</v>
      </c>
      <c r="B10" s="197">
        <v>42369</v>
      </c>
      <c r="C10" s="197">
        <f>B10+1</f>
        <v>42370</v>
      </c>
      <c r="D10" s="197">
        <f t="shared" ref="D10:AF10" si="1">C10+1</f>
        <v>42371</v>
      </c>
      <c r="E10" s="197">
        <f t="shared" si="1"/>
        <v>42372</v>
      </c>
      <c r="F10" s="197">
        <f t="shared" si="1"/>
        <v>42373</v>
      </c>
      <c r="G10" s="197">
        <f t="shared" si="1"/>
        <v>42374</v>
      </c>
      <c r="H10" s="197">
        <f t="shared" si="1"/>
        <v>42375</v>
      </c>
      <c r="I10" s="197">
        <f t="shared" si="1"/>
        <v>42376</v>
      </c>
      <c r="J10" s="197">
        <f t="shared" si="1"/>
        <v>42377</v>
      </c>
      <c r="K10" s="197">
        <f t="shared" si="1"/>
        <v>42378</v>
      </c>
      <c r="L10" s="197">
        <f t="shared" si="1"/>
        <v>42379</v>
      </c>
      <c r="M10" s="197">
        <f t="shared" si="1"/>
        <v>42380</v>
      </c>
      <c r="N10" s="197">
        <f t="shared" si="1"/>
        <v>42381</v>
      </c>
      <c r="O10" s="197">
        <f t="shared" si="1"/>
        <v>42382</v>
      </c>
      <c r="P10" s="197">
        <f t="shared" si="1"/>
        <v>42383</v>
      </c>
      <c r="Q10" s="197">
        <f t="shared" si="1"/>
        <v>42384</v>
      </c>
      <c r="R10" s="197">
        <f t="shared" si="1"/>
        <v>42385</v>
      </c>
      <c r="S10" s="197">
        <f t="shared" si="1"/>
        <v>42386</v>
      </c>
      <c r="T10" s="197">
        <f t="shared" si="1"/>
        <v>42387</v>
      </c>
      <c r="U10" s="197">
        <f t="shared" si="1"/>
        <v>42388</v>
      </c>
      <c r="V10" s="197">
        <f t="shared" si="1"/>
        <v>42389</v>
      </c>
      <c r="W10" s="197">
        <f t="shared" si="1"/>
        <v>42390</v>
      </c>
      <c r="X10" s="197">
        <f t="shared" si="1"/>
        <v>42391</v>
      </c>
      <c r="Y10" s="197">
        <f t="shared" si="1"/>
        <v>42392</v>
      </c>
      <c r="Z10" s="197">
        <f t="shared" si="1"/>
        <v>42393</v>
      </c>
      <c r="AA10" s="197">
        <f t="shared" si="1"/>
        <v>42394</v>
      </c>
      <c r="AB10" s="197">
        <f t="shared" si="1"/>
        <v>42395</v>
      </c>
      <c r="AC10" s="197">
        <f t="shared" si="1"/>
        <v>42396</v>
      </c>
      <c r="AD10" s="197">
        <f t="shared" si="1"/>
        <v>42397</v>
      </c>
      <c r="AE10" s="197">
        <f t="shared" si="1"/>
        <v>42398</v>
      </c>
      <c r="AF10" s="197">
        <f t="shared" si="1"/>
        <v>42399</v>
      </c>
      <c r="AG10" s="198" t="str">
        <f t="shared" ref="AG10:AG56" si="2">A10</f>
        <v>Day</v>
      </c>
      <c r="AH10" s="486" t="str">
        <f>"Total " &amp; INDEX(EB.Monate.Bereich,MONTH(Monat.Tag1))</f>
        <v>Total January</v>
      </c>
      <c r="AI10" s="487"/>
      <c r="AJ10" s="441" t="s">
        <v>229</v>
      </c>
      <c r="AK10" s="199" t="s">
        <v>121</v>
      </c>
      <c r="AL10" s="199" t="s">
        <v>122</v>
      </c>
      <c r="AM10" s="199" t="s">
        <v>230</v>
      </c>
      <c r="AN10" s="200" t="s">
        <v>123</v>
      </c>
      <c r="AO10" s="488" t="str">
        <f ca="1">IF(EB.Sprache="DE","Jahressaldo per" &amp; CHAR(10) &amp; "    ME       " &amp; IFERROR(TEXT(TODAY(),"[$-0007]"&amp;"TT.MM.JJ"),TEXT(TODAY(),"[$-0007]"&amp;"DD.MM.YY")),
"Yearly balance by" &amp; CHAR(10) &amp; "   eom      " &amp; IFERROR(TEXT(TODAY(),"[$-0809]"&amp;"DD.MM.YY"),TEXT(TODAY(),"[$-0809]"&amp;"TT.MM.JJ")))</f>
        <v>Yearly balance by
   eom      14.12.19</v>
      </c>
      <c r="AP10" s="489"/>
      <c r="AQ10" s="201"/>
    </row>
    <row r="11" spans="1:43" s="59" customFormat="1" ht="12" hidden="1" customHeight="1" x14ac:dyDescent="0.2">
      <c r="A11" s="196" t="s">
        <v>163</v>
      </c>
      <c r="B11" s="202">
        <f t="shared" ref="B11:AF11" ca="1" si="3">IFERROR(OFFSET(T.Feiertage.Bereich,MATCH(B$10,T.Feiertage.Bereich,0)-1,1,1,1),1)</f>
        <v>0</v>
      </c>
      <c r="C11" s="202">
        <f t="shared" ca="1" si="3"/>
        <v>0</v>
      </c>
      <c r="D11" s="202">
        <f t="shared" ca="1" si="3"/>
        <v>1</v>
      </c>
      <c r="E11" s="203">
        <f t="shared" ca="1" si="3"/>
        <v>1</v>
      </c>
      <c r="F11" s="202">
        <f t="shared" ca="1" si="3"/>
        <v>1</v>
      </c>
      <c r="G11" s="202">
        <f t="shared" ca="1" si="3"/>
        <v>1</v>
      </c>
      <c r="H11" s="202">
        <f t="shared" ca="1" si="3"/>
        <v>1</v>
      </c>
      <c r="I11" s="202">
        <f t="shared" ca="1" si="3"/>
        <v>1</v>
      </c>
      <c r="J11" s="203">
        <f t="shared" ca="1" si="3"/>
        <v>1</v>
      </c>
      <c r="K11" s="202">
        <f t="shared" ca="1" si="3"/>
        <v>1</v>
      </c>
      <c r="L11" s="203">
        <f t="shared" ca="1" si="3"/>
        <v>1</v>
      </c>
      <c r="M11" s="202">
        <f t="shared" ca="1" si="3"/>
        <v>1</v>
      </c>
      <c r="N11" s="202">
        <f t="shared" ca="1" si="3"/>
        <v>1</v>
      </c>
      <c r="O11" s="202">
        <f t="shared" ca="1" si="3"/>
        <v>1</v>
      </c>
      <c r="P11" s="202">
        <f t="shared" ca="1" si="3"/>
        <v>1</v>
      </c>
      <c r="Q11" s="203">
        <f t="shared" ca="1" si="3"/>
        <v>1</v>
      </c>
      <c r="R11" s="202">
        <f t="shared" ca="1" si="3"/>
        <v>1</v>
      </c>
      <c r="S11" s="203">
        <f t="shared" ca="1" si="3"/>
        <v>1</v>
      </c>
      <c r="T11" s="203">
        <f t="shared" ca="1" si="3"/>
        <v>1</v>
      </c>
      <c r="U11" s="202">
        <f t="shared" ca="1" si="3"/>
        <v>1</v>
      </c>
      <c r="V11" s="202">
        <f t="shared" ca="1" si="3"/>
        <v>1</v>
      </c>
      <c r="W11" s="202">
        <f t="shared" ca="1" si="3"/>
        <v>1</v>
      </c>
      <c r="X11" s="203">
        <f t="shared" ca="1" si="3"/>
        <v>1</v>
      </c>
      <c r="Y11" s="202">
        <f t="shared" ca="1" si="3"/>
        <v>1</v>
      </c>
      <c r="Z11" s="204">
        <f t="shared" ca="1" si="3"/>
        <v>1</v>
      </c>
      <c r="AA11" s="202">
        <f t="shared" ca="1" si="3"/>
        <v>1</v>
      </c>
      <c r="AB11" s="202">
        <f t="shared" ca="1" si="3"/>
        <v>1</v>
      </c>
      <c r="AC11" s="202">
        <f t="shared" ca="1" si="3"/>
        <v>1</v>
      </c>
      <c r="AD11" s="202">
        <f t="shared" ca="1" si="3"/>
        <v>1</v>
      </c>
      <c r="AE11" s="203">
        <f t="shared" ca="1" si="3"/>
        <v>1</v>
      </c>
      <c r="AF11" s="202">
        <f t="shared" ca="1" si="3"/>
        <v>1</v>
      </c>
      <c r="AG11" s="205"/>
      <c r="AH11" s="188"/>
      <c r="AI11" s="206"/>
      <c r="AJ11" s="207"/>
      <c r="AK11" s="208"/>
      <c r="AL11" s="209"/>
      <c r="AM11" s="209"/>
      <c r="AN11" s="208"/>
      <c r="AO11" s="209"/>
      <c r="AP11" s="209"/>
      <c r="AQ11" s="201"/>
    </row>
    <row r="12" spans="1:43" s="59" customFormat="1" ht="12" hidden="1" customHeight="1" x14ac:dyDescent="0.2">
      <c r="A12" s="196" t="s">
        <v>169</v>
      </c>
      <c r="B12" s="210">
        <f t="shared" ref="B12:AF12" si="4">IF(OR(AND(ISNUMBER(EB.UJEintritt),EB.UJEintritt&gt;=B$10+1),AND(ISNUMBER(EB.UJAustritt),EB.UJAustritt&lt;=B$10-1)),0,1)</f>
        <v>1</v>
      </c>
      <c r="C12" s="210">
        <f t="shared" si="4"/>
        <v>1</v>
      </c>
      <c r="D12" s="210">
        <f t="shared" si="4"/>
        <v>1</v>
      </c>
      <c r="E12" s="195">
        <f t="shared" si="4"/>
        <v>1</v>
      </c>
      <c r="F12" s="210">
        <f t="shared" si="4"/>
        <v>1</v>
      </c>
      <c r="G12" s="210">
        <f t="shared" si="4"/>
        <v>1</v>
      </c>
      <c r="H12" s="210">
        <f t="shared" si="4"/>
        <v>1</v>
      </c>
      <c r="I12" s="210">
        <f t="shared" si="4"/>
        <v>1</v>
      </c>
      <c r="J12" s="195">
        <f t="shared" si="4"/>
        <v>1</v>
      </c>
      <c r="K12" s="210">
        <f t="shared" si="4"/>
        <v>1</v>
      </c>
      <c r="L12" s="195">
        <f t="shared" si="4"/>
        <v>1</v>
      </c>
      <c r="M12" s="210">
        <f t="shared" si="4"/>
        <v>1</v>
      </c>
      <c r="N12" s="210">
        <f t="shared" si="4"/>
        <v>1</v>
      </c>
      <c r="O12" s="210">
        <f t="shared" si="4"/>
        <v>1</v>
      </c>
      <c r="P12" s="210">
        <f t="shared" si="4"/>
        <v>1</v>
      </c>
      <c r="Q12" s="195">
        <f t="shared" si="4"/>
        <v>1</v>
      </c>
      <c r="R12" s="210">
        <f t="shared" si="4"/>
        <v>1</v>
      </c>
      <c r="S12" s="195">
        <f t="shared" si="4"/>
        <v>1</v>
      </c>
      <c r="T12" s="195">
        <f t="shared" si="4"/>
        <v>1</v>
      </c>
      <c r="U12" s="210">
        <f t="shared" si="4"/>
        <v>1</v>
      </c>
      <c r="V12" s="210">
        <f t="shared" si="4"/>
        <v>1</v>
      </c>
      <c r="W12" s="210">
        <f t="shared" si="4"/>
        <v>1</v>
      </c>
      <c r="X12" s="195">
        <f t="shared" si="4"/>
        <v>1</v>
      </c>
      <c r="Y12" s="210">
        <f t="shared" si="4"/>
        <v>1</v>
      </c>
      <c r="Z12" s="211">
        <f t="shared" si="4"/>
        <v>1</v>
      </c>
      <c r="AA12" s="210">
        <f t="shared" si="4"/>
        <v>1</v>
      </c>
      <c r="AB12" s="210">
        <f t="shared" si="4"/>
        <v>1</v>
      </c>
      <c r="AC12" s="210">
        <f t="shared" si="4"/>
        <v>1</v>
      </c>
      <c r="AD12" s="210">
        <f t="shared" si="4"/>
        <v>1</v>
      </c>
      <c r="AE12" s="195">
        <f t="shared" si="4"/>
        <v>1</v>
      </c>
      <c r="AF12" s="210">
        <f t="shared" si="4"/>
        <v>1</v>
      </c>
      <c r="AG12" s="205"/>
      <c r="AH12" s="188"/>
      <c r="AI12" s="206"/>
      <c r="AJ12" s="207"/>
      <c r="AK12" s="208"/>
      <c r="AL12" s="209"/>
      <c r="AM12" s="209"/>
      <c r="AN12" s="208"/>
      <c r="AO12" s="209"/>
      <c r="AP12" s="209"/>
      <c r="AQ12" s="201"/>
    </row>
    <row r="13" spans="1:43" s="38" customFormat="1" ht="15" customHeight="1" x14ac:dyDescent="0.2">
      <c r="A13" s="212" t="s">
        <v>74</v>
      </c>
      <c r="B13" s="40"/>
      <c r="C13" s="40"/>
      <c r="D13" s="40"/>
      <c r="E13" s="27"/>
      <c r="F13" s="40"/>
      <c r="G13" s="40"/>
      <c r="H13" s="40"/>
      <c r="I13" s="40"/>
      <c r="J13" s="27"/>
      <c r="K13" s="40"/>
      <c r="L13" s="27"/>
      <c r="M13" s="40"/>
      <c r="N13" s="40"/>
      <c r="O13" s="40"/>
      <c r="P13" s="40"/>
      <c r="Q13" s="27"/>
      <c r="R13" s="40"/>
      <c r="S13" s="27"/>
      <c r="T13" s="27"/>
      <c r="U13" s="40"/>
      <c r="V13" s="40"/>
      <c r="W13" s="40"/>
      <c r="X13" s="27"/>
      <c r="Y13" s="40"/>
      <c r="Z13" s="39"/>
      <c r="AA13" s="40"/>
      <c r="AB13" s="40"/>
      <c r="AC13" s="40"/>
      <c r="AD13" s="40"/>
      <c r="AE13" s="27"/>
      <c r="AF13" s="40"/>
      <c r="AG13" s="205" t="str">
        <f t="shared" si="2"/>
        <v>in</v>
      </c>
      <c r="AH13" s="188"/>
      <c r="AI13" s="206"/>
      <c r="AJ13" s="207"/>
      <c r="AK13" s="208"/>
      <c r="AL13" s="209"/>
      <c r="AM13" s="209"/>
      <c r="AN13" s="208"/>
      <c r="AO13" s="209"/>
      <c r="AP13" s="209"/>
      <c r="AQ13" s="119"/>
    </row>
    <row r="14" spans="1:43" s="38" customFormat="1" ht="15" customHeight="1" x14ac:dyDescent="0.2">
      <c r="A14" s="212" t="s">
        <v>75</v>
      </c>
      <c r="B14" s="40"/>
      <c r="C14" s="40"/>
      <c r="D14" s="40"/>
      <c r="E14" s="27"/>
      <c r="F14" s="40"/>
      <c r="G14" s="40"/>
      <c r="H14" s="40"/>
      <c r="I14" s="40"/>
      <c r="J14" s="27"/>
      <c r="K14" s="40"/>
      <c r="L14" s="27"/>
      <c r="M14" s="40"/>
      <c r="N14" s="40"/>
      <c r="O14" s="40"/>
      <c r="P14" s="40"/>
      <c r="Q14" s="27"/>
      <c r="R14" s="40"/>
      <c r="S14" s="27"/>
      <c r="T14" s="27"/>
      <c r="U14" s="40"/>
      <c r="V14" s="40"/>
      <c r="W14" s="40"/>
      <c r="X14" s="27"/>
      <c r="Y14" s="40"/>
      <c r="Z14" s="39"/>
      <c r="AA14" s="40"/>
      <c r="AB14" s="40"/>
      <c r="AC14" s="40"/>
      <c r="AD14" s="40"/>
      <c r="AE14" s="27"/>
      <c r="AF14" s="40"/>
      <c r="AG14" s="205" t="str">
        <f t="shared" si="2"/>
        <v>out</v>
      </c>
      <c r="AH14" s="188"/>
      <c r="AI14" s="206"/>
      <c r="AJ14" s="207"/>
      <c r="AK14" s="208"/>
      <c r="AL14" s="209"/>
      <c r="AM14" s="209"/>
      <c r="AN14" s="208"/>
      <c r="AO14" s="209"/>
      <c r="AP14" s="209"/>
      <c r="AQ14" s="119"/>
    </row>
    <row r="15" spans="1:43" s="38" customFormat="1" ht="15" customHeight="1" x14ac:dyDescent="0.2">
      <c r="A15" s="212" t="s">
        <v>74</v>
      </c>
      <c r="B15" s="40"/>
      <c r="C15" s="40"/>
      <c r="D15" s="40"/>
      <c r="E15" s="27"/>
      <c r="F15" s="40"/>
      <c r="G15" s="40"/>
      <c r="H15" s="40"/>
      <c r="I15" s="40"/>
      <c r="J15" s="27"/>
      <c r="K15" s="40"/>
      <c r="L15" s="27"/>
      <c r="M15" s="40"/>
      <c r="N15" s="40"/>
      <c r="O15" s="40"/>
      <c r="P15" s="40"/>
      <c r="Q15" s="27"/>
      <c r="R15" s="40"/>
      <c r="S15" s="27"/>
      <c r="T15" s="27"/>
      <c r="U15" s="40"/>
      <c r="V15" s="40"/>
      <c r="W15" s="40"/>
      <c r="X15" s="27"/>
      <c r="Y15" s="40"/>
      <c r="Z15" s="39"/>
      <c r="AA15" s="40"/>
      <c r="AB15" s="40"/>
      <c r="AC15" s="40"/>
      <c r="AD15" s="40"/>
      <c r="AE15" s="27"/>
      <c r="AF15" s="40"/>
      <c r="AG15" s="205" t="str">
        <f t="shared" si="2"/>
        <v>in</v>
      </c>
      <c r="AH15" s="188"/>
      <c r="AI15" s="206"/>
      <c r="AJ15" s="207"/>
      <c r="AK15" s="208"/>
      <c r="AL15" s="209"/>
      <c r="AM15" s="209"/>
      <c r="AN15" s="208"/>
      <c r="AO15" s="209"/>
      <c r="AP15" s="209"/>
      <c r="AQ15" s="119"/>
    </row>
    <row r="16" spans="1:43" s="38" customFormat="1" ht="15" customHeight="1" x14ac:dyDescent="0.2">
      <c r="A16" s="212" t="s">
        <v>75</v>
      </c>
      <c r="B16" s="40"/>
      <c r="C16" s="40"/>
      <c r="D16" s="40"/>
      <c r="E16" s="27"/>
      <c r="F16" s="40"/>
      <c r="G16" s="40"/>
      <c r="H16" s="40"/>
      <c r="I16" s="40"/>
      <c r="J16" s="27"/>
      <c r="K16" s="40"/>
      <c r="L16" s="27"/>
      <c r="M16" s="40"/>
      <c r="N16" s="40"/>
      <c r="O16" s="40"/>
      <c r="P16" s="40"/>
      <c r="Q16" s="27"/>
      <c r="R16" s="40"/>
      <c r="S16" s="27"/>
      <c r="T16" s="27"/>
      <c r="U16" s="40"/>
      <c r="V16" s="40"/>
      <c r="W16" s="40"/>
      <c r="X16" s="27"/>
      <c r="Y16" s="40"/>
      <c r="Z16" s="39"/>
      <c r="AA16" s="40"/>
      <c r="AB16" s="40"/>
      <c r="AC16" s="40"/>
      <c r="AD16" s="40"/>
      <c r="AE16" s="27"/>
      <c r="AF16" s="40"/>
      <c r="AG16" s="205" t="str">
        <f t="shared" si="2"/>
        <v>out</v>
      </c>
      <c r="AH16" s="188"/>
      <c r="AI16" s="213"/>
      <c r="AJ16" s="214"/>
      <c r="AK16" s="209"/>
      <c r="AL16" s="209"/>
      <c r="AM16" s="209"/>
      <c r="AN16" s="208"/>
      <c r="AO16" s="209"/>
      <c r="AP16" s="209"/>
      <c r="AQ16" s="119"/>
    </row>
    <row r="17" spans="1:43" s="38" customFormat="1" ht="15" customHeight="1" x14ac:dyDescent="0.2">
      <c r="A17" s="212" t="s">
        <v>74</v>
      </c>
      <c r="B17" s="40"/>
      <c r="C17" s="40"/>
      <c r="D17" s="40"/>
      <c r="E17" s="27"/>
      <c r="F17" s="40"/>
      <c r="G17" s="40"/>
      <c r="H17" s="40"/>
      <c r="I17" s="40"/>
      <c r="J17" s="27"/>
      <c r="K17" s="40"/>
      <c r="L17" s="27"/>
      <c r="M17" s="40"/>
      <c r="N17" s="40"/>
      <c r="O17" s="40"/>
      <c r="P17" s="40"/>
      <c r="Q17" s="27"/>
      <c r="R17" s="40"/>
      <c r="S17" s="27"/>
      <c r="T17" s="27"/>
      <c r="U17" s="40"/>
      <c r="V17" s="40"/>
      <c r="W17" s="40"/>
      <c r="X17" s="27"/>
      <c r="Y17" s="40"/>
      <c r="Z17" s="39"/>
      <c r="AA17" s="40"/>
      <c r="AB17" s="40"/>
      <c r="AC17" s="40"/>
      <c r="AD17" s="40"/>
      <c r="AE17" s="27"/>
      <c r="AF17" s="40"/>
      <c r="AG17" s="205" t="str">
        <f t="shared" si="2"/>
        <v>in</v>
      </c>
      <c r="AH17" s="188"/>
      <c r="AI17" s="213"/>
      <c r="AJ17" s="214"/>
      <c r="AK17" s="209"/>
      <c r="AL17" s="209"/>
      <c r="AM17" s="209"/>
      <c r="AN17" s="208"/>
      <c r="AO17" s="209"/>
      <c r="AP17" s="209"/>
      <c r="AQ17" s="119"/>
    </row>
    <row r="18" spans="1:43" s="38" customFormat="1" ht="15" customHeight="1" x14ac:dyDescent="0.2">
      <c r="A18" s="212" t="s">
        <v>75</v>
      </c>
      <c r="B18" s="40"/>
      <c r="C18" s="40"/>
      <c r="D18" s="40"/>
      <c r="E18" s="27"/>
      <c r="F18" s="40"/>
      <c r="G18" s="40"/>
      <c r="H18" s="40"/>
      <c r="I18" s="40"/>
      <c r="J18" s="27"/>
      <c r="K18" s="40"/>
      <c r="L18" s="27"/>
      <c r="M18" s="40"/>
      <c r="N18" s="40"/>
      <c r="O18" s="40"/>
      <c r="P18" s="40"/>
      <c r="Q18" s="27"/>
      <c r="R18" s="40"/>
      <c r="S18" s="27"/>
      <c r="T18" s="27"/>
      <c r="U18" s="40"/>
      <c r="V18" s="40"/>
      <c r="W18" s="40"/>
      <c r="X18" s="27"/>
      <c r="Y18" s="40"/>
      <c r="Z18" s="39"/>
      <c r="AA18" s="40"/>
      <c r="AB18" s="40"/>
      <c r="AC18" s="40"/>
      <c r="AD18" s="40"/>
      <c r="AE18" s="27"/>
      <c r="AF18" s="40"/>
      <c r="AG18" s="205" t="str">
        <f t="shared" si="2"/>
        <v>out</v>
      </c>
      <c r="AH18" s="188"/>
      <c r="AI18" s="213"/>
      <c r="AJ18" s="214"/>
      <c r="AK18" s="209"/>
      <c r="AL18" s="209"/>
      <c r="AM18" s="209"/>
      <c r="AN18" s="208"/>
      <c r="AO18" s="209"/>
      <c r="AP18" s="209"/>
      <c r="AQ18" s="119"/>
    </row>
    <row r="19" spans="1:43" s="38" customFormat="1" ht="15" hidden="1" customHeight="1" outlineLevel="1" x14ac:dyDescent="0.2">
      <c r="A19" s="212" t="s">
        <v>74</v>
      </c>
      <c r="B19" s="40"/>
      <c r="C19" s="40"/>
      <c r="D19" s="40"/>
      <c r="E19" s="27"/>
      <c r="F19" s="40"/>
      <c r="G19" s="40"/>
      <c r="H19" s="40"/>
      <c r="I19" s="40"/>
      <c r="J19" s="27"/>
      <c r="K19" s="40"/>
      <c r="L19" s="27"/>
      <c r="M19" s="40"/>
      <c r="N19" s="40"/>
      <c r="O19" s="40"/>
      <c r="P19" s="40"/>
      <c r="Q19" s="27"/>
      <c r="R19" s="40"/>
      <c r="S19" s="27"/>
      <c r="T19" s="27"/>
      <c r="U19" s="40"/>
      <c r="V19" s="40"/>
      <c r="W19" s="40"/>
      <c r="X19" s="27"/>
      <c r="Y19" s="40"/>
      <c r="Z19" s="39"/>
      <c r="AA19" s="40"/>
      <c r="AB19" s="40"/>
      <c r="AC19" s="40"/>
      <c r="AD19" s="40"/>
      <c r="AE19" s="27"/>
      <c r="AF19" s="40"/>
      <c r="AG19" s="205" t="str">
        <f t="shared" si="2"/>
        <v>in</v>
      </c>
      <c r="AH19" s="188"/>
      <c r="AI19" s="213"/>
      <c r="AJ19" s="214"/>
      <c r="AK19" s="209"/>
      <c r="AL19" s="209"/>
      <c r="AM19" s="209"/>
      <c r="AN19" s="208"/>
      <c r="AO19" s="209"/>
      <c r="AP19" s="209"/>
      <c r="AQ19" s="119"/>
    </row>
    <row r="20" spans="1:43" s="38" customFormat="1" ht="15" hidden="1" customHeight="1" outlineLevel="1" x14ac:dyDescent="0.2">
      <c r="A20" s="212" t="s">
        <v>75</v>
      </c>
      <c r="B20" s="40"/>
      <c r="C20" s="40"/>
      <c r="D20" s="40"/>
      <c r="E20" s="27"/>
      <c r="F20" s="40"/>
      <c r="G20" s="40"/>
      <c r="H20" s="40"/>
      <c r="I20" s="40"/>
      <c r="J20" s="27"/>
      <c r="K20" s="40"/>
      <c r="L20" s="27"/>
      <c r="M20" s="40"/>
      <c r="N20" s="40"/>
      <c r="O20" s="40"/>
      <c r="P20" s="40"/>
      <c r="Q20" s="27"/>
      <c r="R20" s="40"/>
      <c r="S20" s="27"/>
      <c r="T20" s="27"/>
      <c r="U20" s="40"/>
      <c r="V20" s="40"/>
      <c r="W20" s="40"/>
      <c r="X20" s="27"/>
      <c r="Y20" s="40"/>
      <c r="Z20" s="39"/>
      <c r="AA20" s="40"/>
      <c r="AB20" s="40"/>
      <c r="AC20" s="40"/>
      <c r="AD20" s="40"/>
      <c r="AE20" s="27"/>
      <c r="AF20" s="40"/>
      <c r="AG20" s="205" t="str">
        <f t="shared" si="2"/>
        <v>out</v>
      </c>
      <c r="AH20" s="188"/>
      <c r="AI20" s="213"/>
      <c r="AJ20" s="214"/>
      <c r="AK20" s="209"/>
      <c r="AL20" s="209"/>
      <c r="AM20" s="209"/>
      <c r="AN20" s="208"/>
      <c r="AO20" s="209"/>
      <c r="AP20" s="209"/>
      <c r="AQ20" s="119"/>
    </row>
    <row r="21" spans="1:43" s="38" customFormat="1" ht="15" hidden="1" customHeight="1" outlineLevel="1" x14ac:dyDescent="0.2">
      <c r="A21" s="212" t="s">
        <v>74</v>
      </c>
      <c r="B21" s="40"/>
      <c r="C21" s="40"/>
      <c r="D21" s="40"/>
      <c r="E21" s="27"/>
      <c r="F21" s="40"/>
      <c r="G21" s="40"/>
      <c r="H21" s="40"/>
      <c r="I21" s="40"/>
      <c r="J21" s="27"/>
      <c r="K21" s="40"/>
      <c r="L21" s="27"/>
      <c r="M21" s="40"/>
      <c r="N21" s="40"/>
      <c r="O21" s="40"/>
      <c r="P21" s="40"/>
      <c r="Q21" s="27"/>
      <c r="R21" s="40"/>
      <c r="S21" s="27"/>
      <c r="T21" s="27"/>
      <c r="U21" s="40"/>
      <c r="V21" s="40"/>
      <c r="W21" s="40"/>
      <c r="X21" s="27"/>
      <c r="Y21" s="40"/>
      <c r="Z21" s="39"/>
      <c r="AA21" s="40"/>
      <c r="AB21" s="40"/>
      <c r="AC21" s="40"/>
      <c r="AD21" s="40"/>
      <c r="AE21" s="27"/>
      <c r="AF21" s="40"/>
      <c r="AG21" s="205" t="str">
        <f t="shared" si="2"/>
        <v>in</v>
      </c>
      <c r="AH21" s="188"/>
      <c r="AI21" s="213"/>
      <c r="AJ21" s="214"/>
      <c r="AK21" s="209"/>
      <c r="AL21" s="209"/>
      <c r="AM21" s="209"/>
      <c r="AN21" s="208"/>
      <c r="AO21" s="209"/>
      <c r="AP21" s="209"/>
      <c r="AQ21" s="119"/>
    </row>
    <row r="22" spans="1:43" s="38" customFormat="1" ht="15" hidden="1" customHeight="1" outlineLevel="1" x14ac:dyDescent="0.2">
      <c r="A22" s="212" t="s">
        <v>75</v>
      </c>
      <c r="B22" s="40"/>
      <c r="C22" s="40"/>
      <c r="D22" s="40"/>
      <c r="E22" s="27"/>
      <c r="F22" s="40"/>
      <c r="G22" s="40"/>
      <c r="H22" s="40"/>
      <c r="I22" s="40"/>
      <c r="J22" s="27"/>
      <c r="K22" s="40"/>
      <c r="L22" s="27"/>
      <c r="M22" s="40"/>
      <c r="N22" s="40"/>
      <c r="O22" s="40"/>
      <c r="P22" s="40"/>
      <c r="Q22" s="27"/>
      <c r="R22" s="40"/>
      <c r="S22" s="27"/>
      <c r="T22" s="27"/>
      <c r="U22" s="40"/>
      <c r="V22" s="40"/>
      <c r="W22" s="40"/>
      <c r="X22" s="27"/>
      <c r="Y22" s="40"/>
      <c r="Z22" s="39"/>
      <c r="AA22" s="40"/>
      <c r="AB22" s="40"/>
      <c r="AC22" s="40"/>
      <c r="AD22" s="40"/>
      <c r="AE22" s="27"/>
      <c r="AF22" s="40"/>
      <c r="AG22" s="205" t="str">
        <f t="shared" si="2"/>
        <v>out</v>
      </c>
      <c r="AH22" s="188"/>
      <c r="AI22" s="213"/>
      <c r="AJ22" s="214"/>
      <c r="AK22" s="209"/>
      <c r="AL22" s="209"/>
      <c r="AM22" s="209"/>
      <c r="AN22" s="208"/>
      <c r="AO22" s="209"/>
      <c r="AP22" s="209"/>
      <c r="AQ22" s="119"/>
    </row>
    <row r="23" spans="1:43" s="38" customFormat="1" ht="15" customHeight="1" collapsed="1" x14ac:dyDescent="0.2">
      <c r="A23" s="215" t="s">
        <v>204</v>
      </c>
      <c r="B23" s="216">
        <f>ROUND(((B14-B13)+(B16-B15)+(B18-B17)+(B20-B19)+(B22-B21))*1440,0)/1440</f>
        <v>0</v>
      </c>
      <c r="C23" s="216">
        <f t="shared" ref="C23:AF23" si="5">ROUND(((C14-C13)+(C16-C15)+(C18-C17)+(C20-C19)+(C22-C21))*1440,0)/1440</f>
        <v>0</v>
      </c>
      <c r="D23" s="216">
        <f t="shared" si="5"/>
        <v>0</v>
      </c>
      <c r="E23" s="216">
        <f t="shared" si="5"/>
        <v>0</v>
      </c>
      <c r="F23" s="216">
        <f t="shared" si="5"/>
        <v>0</v>
      </c>
      <c r="G23" s="216">
        <f t="shared" si="5"/>
        <v>0</v>
      </c>
      <c r="H23" s="216">
        <f t="shared" si="5"/>
        <v>0</v>
      </c>
      <c r="I23" s="216">
        <f t="shared" si="5"/>
        <v>0</v>
      </c>
      <c r="J23" s="216">
        <f t="shared" si="5"/>
        <v>0</v>
      </c>
      <c r="K23" s="216">
        <f t="shared" si="5"/>
        <v>0</v>
      </c>
      <c r="L23" s="216">
        <f t="shared" si="5"/>
        <v>0</v>
      </c>
      <c r="M23" s="216">
        <f t="shared" si="5"/>
        <v>0</v>
      </c>
      <c r="N23" s="216">
        <f t="shared" si="5"/>
        <v>0</v>
      </c>
      <c r="O23" s="216">
        <f t="shared" si="5"/>
        <v>0</v>
      </c>
      <c r="P23" s="216">
        <f t="shared" si="5"/>
        <v>0</v>
      </c>
      <c r="Q23" s="216">
        <f t="shared" si="5"/>
        <v>0</v>
      </c>
      <c r="R23" s="216">
        <f t="shared" si="5"/>
        <v>0</v>
      </c>
      <c r="S23" s="216">
        <f t="shared" si="5"/>
        <v>0</v>
      </c>
      <c r="T23" s="216">
        <f t="shared" si="5"/>
        <v>0</v>
      </c>
      <c r="U23" s="216">
        <f t="shared" si="5"/>
        <v>0</v>
      </c>
      <c r="V23" s="216">
        <f t="shared" si="5"/>
        <v>0</v>
      </c>
      <c r="W23" s="216">
        <f t="shared" si="5"/>
        <v>0</v>
      </c>
      <c r="X23" s="216">
        <f t="shared" si="5"/>
        <v>0</v>
      </c>
      <c r="Y23" s="216">
        <f t="shared" si="5"/>
        <v>0</v>
      </c>
      <c r="Z23" s="216">
        <f t="shared" si="5"/>
        <v>0</v>
      </c>
      <c r="AA23" s="216">
        <f t="shared" si="5"/>
        <v>0</v>
      </c>
      <c r="AB23" s="216">
        <f t="shared" si="5"/>
        <v>0</v>
      </c>
      <c r="AC23" s="216">
        <f t="shared" si="5"/>
        <v>0</v>
      </c>
      <c r="AD23" s="216">
        <f t="shared" si="5"/>
        <v>0</v>
      </c>
      <c r="AE23" s="216">
        <f t="shared" si="5"/>
        <v>0</v>
      </c>
      <c r="AF23" s="216">
        <f t="shared" si="5"/>
        <v>0</v>
      </c>
      <c r="AG23" s="217" t="str">
        <f t="shared" si="2"/>
        <v>Total in/out</v>
      </c>
      <c r="AH23" s="218"/>
      <c r="AI23" s="219">
        <f>SUM(B23:AF23)</f>
        <v>0</v>
      </c>
      <c r="AJ23" s="214"/>
      <c r="AK23" s="209"/>
      <c r="AL23" s="209"/>
      <c r="AM23" s="209"/>
      <c r="AN23" s="208"/>
      <c r="AO23" s="209"/>
      <c r="AP23" s="209"/>
      <c r="AQ23" s="119"/>
    </row>
    <row r="24" spans="1:43" s="38" customFormat="1" ht="3.75" hidden="1" customHeight="1" outlineLevel="1" x14ac:dyDescent="0.2">
      <c r="A24" s="220"/>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2"/>
      <c r="AG24" s="205"/>
      <c r="AH24" s="188"/>
      <c r="AI24" s="213"/>
      <c r="AJ24" s="214"/>
      <c r="AK24" s="209"/>
      <c r="AL24" s="209"/>
      <c r="AM24" s="209"/>
      <c r="AN24" s="208"/>
      <c r="AO24" s="209"/>
      <c r="AP24" s="209"/>
      <c r="AQ24" s="119"/>
    </row>
    <row r="25" spans="1:43" s="38" customFormat="1" ht="15" hidden="1" customHeight="1" outlineLevel="1" x14ac:dyDescent="0.2">
      <c r="A25" s="212" t="s">
        <v>164</v>
      </c>
      <c r="B25" s="40"/>
      <c r="C25" s="40"/>
      <c r="D25" s="40"/>
      <c r="E25" s="77"/>
      <c r="F25" s="40"/>
      <c r="G25" s="40"/>
      <c r="H25" s="40"/>
      <c r="I25" s="40"/>
      <c r="J25" s="40"/>
      <c r="K25" s="40"/>
      <c r="L25" s="40"/>
      <c r="M25" s="40"/>
      <c r="N25" s="40"/>
      <c r="O25" s="40"/>
      <c r="P25" s="40"/>
      <c r="Q25" s="40"/>
      <c r="R25" s="40"/>
      <c r="S25" s="40"/>
      <c r="T25" s="40"/>
      <c r="U25" s="40"/>
      <c r="V25" s="40"/>
      <c r="W25" s="40"/>
      <c r="X25" s="40"/>
      <c r="Y25" s="40"/>
      <c r="Z25" s="47"/>
      <c r="AA25" s="40"/>
      <c r="AB25" s="40"/>
      <c r="AC25" s="40"/>
      <c r="AD25" s="40"/>
      <c r="AE25" s="40"/>
      <c r="AF25" s="40"/>
      <c r="AG25" s="205" t="str">
        <f t="shared" ref="AG25:AG30" si="6">A25</f>
        <v>paid break in</v>
      </c>
      <c r="AH25" s="188"/>
      <c r="AI25" s="213"/>
      <c r="AJ25" s="214"/>
      <c r="AK25" s="209"/>
      <c r="AL25" s="209"/>
      <c r="AM25" s="209"/>
      <c r="AN25" s="208"/>
      <c r="AO25" s="209"/>
      <c r="AP25" s="209"/>
      <c r="AQ25" s="119"/>
    </row>
    <row r="26" spans="1:43" s="38" customFormat="1" ht="15" hidden="1" customHeight="1" outlineLevel="1" x14ac:dyDescent="0.2">
      <c r="A26" s="212" t="s">
        <v>165</v>
      </c>
      <c r="B26" s="40"/>
      <c r="C26" s="40"/>
      <c r="D26" s="40"/>
      <c r="E26" s="40"/>
      <c r="F26" s="40"/>
      <c r="G26" s="40"/>
      <c r="H26" s="40"/>
      <c r="I26" s="40"/>
      <c r="J26" s="40"/>
      <c r="K26" s="40"/>
      <c r="L26" s="40"/>
      <c r="M26" s="40"/>
      <c r="N26" s="40"/>
      <c r="O26" s="40"/>
      <c r="P26" s="40"/>
      <c r="Q26" s="40"/>
      <c r="R26" s="40"/>
      <c r="S26" s="40"/>
      <c r="T26" s="40"/>
      <c r="U26" s="40"/>
      <c r="V26" s="40"/>
      <c r="W26" s="40"/>
      <c r="X26" s="40"/>
      <c r="Y26" s="40"/>
      <c r="Z26" s="47"/>
      <c r="AA26" s="40"/>
      <c r="AB26" s="40"/>
      <c r="AC26" s="40"/>
      <c r="AD26" s="40"/>
      <c r="AE26" s="40"/>
      <c r="AF26" s="40"/>
      <c r="AG26" s="205" t="str">
        <f t="shared" si="6"/>
        <v>paid break out</v>
      </c>
      <c r="AH26" s="188"/>
      <c r="AI26" s="213"/>
      <c r="AJ26" s="214"/>
      <c r="AK26" s="209"/>
      <c r="AL26" s="209"/>
      <c r="AM26" s="209"/>
      <c r="AN26" s="208"/>
      <c r="AO26" s="209"/>
      <c r="AP26" s="209"/>
      <c r="AQ26" s="119"/>
    </row>
    <row r="27" spans="1:43" s="38" customFormat="1" ht="15" hidden="1" customHeight="1" outlineLevel="1" x14ac:dyDescent="0.2">
      <c r="A27" s="212" t="s">
        <v>164</v>
      </c>
      <c r="B27" s="40"/>
      <c r="C27" s="40"/>
      <c r="D27" s="40"/>
      <c r="E27" s="40"/>
      <c r="F27" s="40"/>
      <c r="G27" s="40"/>
      <c r="H27" s="40"/>
      <c r="I27" s="40"/>
      <c r="J27" s="40"/>
      <c r="K27" s="40"/>
      <c r="L27" s="40"/>
      <c r="M27" s="40"/>
      <c r="N27" s="40"/>
      <c r="O27" s="40"/>
      <c r="P27" s="40"/>
      <c r="Q27" s="40"/>
      <c r="R27" s="40"/>
      <c r="S27" s="40"/>
      <c r="T27" s="40"/>
      <c r="U27" s="40"/>
      <c r="V27" s="40"/>
      <c r="W27" s="40"/>
      <c r="X27" s="40"/>
      <c r="Y27" s="40"/>
      <c r="Z27" s="47"/>
      <c r="AA27" s="40"/>
      <c r="AB27" s="40"/>
      <c r="AC27" s="40"/>
      <c r="AD27" s="40"/>
      <c r="AE27" s="40"/>
      <c r="AF27" s="40"/>
      <c r="AG27" s="205" t="str">
        <f t="shared" si="6"/>
        <v>paid break in</v>
      </c>
      <c r="AH27" s="188"/>
      <c r="AI27" s="213"/>
      <c r="AJ27" s="214"/>
      <c r="AK27" s="209"/>
      <c r="AL27" s="209"/>
      <c r="AM27" s="209"/>
      <c r="AN27" s="208"/>
      <c r="AO27" s="209"/>
      <c r="AP27" s="209"/>
      <c r="AQ27" s="119"/>
    </row>
    <row r="28" spans="1:43" s="38" customFormat="1" ht="15" hidden="1" customHeight="1" outlineLevel="1" x14ac:dyDescent="0.2">
      <c r="A28" s="212" t="s">
        <v>165</v>
      </c>
      <c r="B28" s="40"/>
      <c r="C28" s="40"/>
      <c r="D28" s="40"/>
      <c r="E28" s="40"/>
      <c r="F28" s="40"/>
      <c r="G28" s="40"/>
      <c r="H28" s="40"/>
      <c r="I28" s="40"/>
      <c r="J28" s="40"/>
      <c r="K28" s="40"/>
      <c r="L28" s="40"/>
      <c r="M28" s="40"/>
      <c r="N28" s="40"/>
      <c r="O28" s="40"/>
      <c r="P28" s="40"/>
      <c r="Q28" s="40"/>
      <c r="R28" s="40"/>
      <c r="S28" s="40"/>
      <c r="T28" s="40"/>
      <c r="U28" s="40"/>
      <c r="V28" s="40"/>
      <c r="W28" s="40"/>
      <c r="X28" s="40"/>
      <c r="Y28" s="40"/>
      <c r="Z28" s="47"/>
      <c r="AA28" s="40"/>
      <c r="AB28" s="40"/>
      <c r="AC28" s="40"/>
      <c r="AD28" s="40"/>
      <c r="AE28" s="40"/>
      <c r="AF28" s="40"/>
      <c r="AG28" s="205" t="str">
        <f t="shared" si="6"/>
        <v>paid break out</v>
      </c>
      <c r="AH28" s="188"/>
      <c r="AI28" s="213"/>
      <c r="AJ28" s="214"/>
      <c r="AK28" s="209"/>
      <c r="AL28" s="209"/>
      <c r="AM28" s="209"/>
      <c r="AN28" s="208"/>
      <c r="AO28" s="209"/>
      <c r="AP28" s="209"/>
      <c r="AQ28" s="119"/>
    </row>
    <row r="29" spans="1:43" s="38" customFormat="1" ht="15" hidden="1" customHeight="1" outlineLevel="1" x14ac:dyDescent="0.2">
      <c r="A29" s="212" t="s">
        <v>164</v>
      </c>
      <c r="B29" s="40"/>
      <c r="C29" s="40"/>
      <c r="D29" s="40"/>
      <c r="E29" s="40"/>
      <c r="F29" s="40"/>
      <c r="G29" s="40"/>
      <c r="H29" s="40"/>
      <c r="I29" s="40"/>
      <c r="J29" s="40"/>
      <c r="K29" s="40"/>
      <c r="L29" s="40"/>
      <c r="M29" s="40"/>
      <c r="N29" s="40"/>
      <c r="O29" s="40"/>
      <c r="P29" s="40"/>
      <c r="Q29" s="40"/>
      <c r="R29" s="40"/>
      <c r="S29" s="40"/>
      <c r="T29" s="40"/>
      <c r="U29" s="40"/>
      <c r="V29" s="40"/>
      <c r="W29" s="40"/>
      <c r="X29" s="40"/>
      <c r="Y29" s="40"/>
      <c r="Z29" s="47"/>
      <c r="AA29" s="40"/>
      <c r="AB29" s="40"/>
      <c r="AC29" s="40"/>
      <c r="AD29" s="40"/>
      <c r="AE29" s="40"/>
      <c r="AF29" s="40"/>
      <c r="AG29" s="205" t="str">
        <f t="shared" si="6"/>
        <v>paid break in</v>
      </c>
      <c r="AH29" s="188"/>
      <c r="AI29" s="213"/>
      <c r="AJ29" s="214"/>
      <c r="AK29" s="209"/>
      <c r="AL29" s="209"/>
      <c r="AM29" s="209"/>
      <c r="AN29" s="208"/>
      <c r="AO29" s="209"/>
      <c r="AP29" s="209"/>
      <c r="AQ29" s="119"/>
    </row>
    <row r="30" spans="1:43" s="38" customFormat="1" ht="15" hidden="1" customHeight="1" outlineLevel="1" x14ac:dyDescent="0.2">
      <c r="A30" s="212" t="s">
        <v>165</v>
      </c>
      <c r="B30" s="40"/>
      <c r="C30" s="40"/>
      <c r="D30" s="40"/>
      <c r="E30" s="40"/>
      <c r="F30" s="40"/>
      <c r="G30" s="40"/>
      <c r="H30" s="40"/>
      <c r="I30" s="40"/>
      <c r="J30" s="40"/>
      <c r="K30" s="40"/>
      <c r="L30" s="40"/>
      <c r="M30" s="40"/>
      <c r="N30" s="40"/>
      <c r="O30" s="40"/>
      <c r="P30" s="40"/>
      <c r="Q30" s="40"/>
      <c r="R30" s="40"/>
      <c r="S30" s="40"/>
      <c r="T30" s="40"/>
      <c r="U30" s="40"/>
      <c r="V30" s="40"/>
      <c r="W30" s="40"/>
      <c r="X30" s="40"/>
      <c r="Y30" s="40"/>
      <c r="Z30" s="47"/>
      <c r="AA30" s="40"/>
      <c r="AB30" s="40"/>
      <c r="AC30" s="40"/>
      <c r="AD30" s="40"/>
      <c r="AE30" s="40"/>
      <c r="AF30" s="40"/>
      <c r="AG30" s="205" t="str">
        <f t="shared" si="6"/>
        <v>paid break out</v>
      </c>
      <c r="AH30" s="188"/>
      <c r="AI30" s="213"/>
      <c r="AJ30" s="214"/>
      <c r="AK30" s="209"/>
      <c r="AL30" s="209"/>
      <c r="AM30" s="209"/>
      <c r="AN30" s="208"/>
      <c r="AO30" s="209"/>
      <c r="AP30" s="209"/>
      <c r="AQ30" s="119"/>
    </row>
    <row r="31" spans="1:43" s="38" customFormat="1" ht="3.75" hidden="1" customHeight="1" outlineLevel="1" x14ac:dyDescent="0.2">
      <c r="A31" s="220"/>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4"/>
      <c r="AG31" s="205"/>
      <c r="AH31" s="188"/>
      <c r="AI31" s="213"/>
      <c r="AJ31" s="214"/>
      <c r="AK31" s="209"/>
      <c r="AL31" s="209"/>
      <c r="AM31" s="209"/>
      <c r="AN31" s="208"/>
      <c r="AO31" s="209"/>
      <c r="AP31" s="209"/>
      <c r="AQ31" s="119"/>
    </row>
    <row r="32" spans="1:43" s="38" customFormat="1" ht="15" hidden="1" customHeight="1" outlineLevel="1" x14ac:dyDescent="0.2">
      <c r="A32" s="215" t="s">
        <v>205</v>
      </c>
      <c r="B32" s="225">
        <f>ROUND((IF(MAX(0,B15-B14)&lt;1/24/60*180,MAX(0,B15-B14),0)+IF(MAX(0,B17-B16)&lt;1/24/60*180,MAX(0,B17-B16),0)+IF(MAX(0,B19-B18)&lt;1/24/60*180,MAX(0,B19-B18),0)+IF(MAX(0,B21-B20)&lt;1/24/60*180,MAX(0,B21-B20))+MAX(0,B26-B25)+MAX(0,B28-B27)+MAX(0,B30-B29))*1440,0)/1440</f>
        <v>0</v>
      </c>
      <c r="C32" s="225">
        <f t="shared" ref="C32:AF32" si="7">ROUND((IF(MAX(0,C15-C14)&lt;1/24/60*180,MAX(0,C15-C14),0)+IF(MAX(0,C17-C16)&lt;1/24/60*180,MAX(0,C17-C16),0)+IF(MAX(0,C19-C18)&lt;1/24/60*180,MAX(0,C19-C18),0)+IF(MAX(0,C21-C20)&lt;1/24/60*180,MAX(0,C21-C20))+MAX(0,C26-C25)+MAX(0,C28-C27)+MAX(0,C30-C29))*1440,0)/1440</f>
        <v>0</v>
      </c>
      <c r="D32" s="225">
        <f t="shared" si="7"/>
        <v>0</v>
      </c>
      <c r="E32" s="225">
        <f t="shared" si="7"/>
        <v>0</v>
      </c>
      <c r="F32" s="225">
        <f t="shared" si="7"/>
        <v>0</v>
      </c>
      <c r="G32" s="225">
        <f t="shared" si="7"/>
        <v>0</v>
      </c>
      <c r="H32" s="225">
        <f t="shared" si="7"/>
        <v>0</v>
      </c>
      <c r="I32" s="225">
        <f t="shared" si="7"/>
        <v>0</v>
      </c>
      <c r="J32" s="225">
        <f t="shared" si="7"/>
        <v>0</v>
      </c>
      <c r="K32" s="225">
        <f t="shared" si="7"/>
        <v>0</v>
      </c>
      <c r="L32" s="225">
        <f t="shared" si="7"/>
        <v>0</v>
      </c>
      <c r="M32" s="225">
        <f t="shared" si="7"/>
        <v>0</v>
      </c>
      <c r="N32" s="225">
        <f t="shared" si="7"/>
        <v>0</v>
      </c>
      <c r="O32" s="225">
        <f t="shared" si="7"/>
        <v>0</v>
      </c>
      <c r="P32" s="225">
        <f t="shared" si="7"/>
        <v>0</v>
      </c>
      <c r="Q32" s="225">
        <f t="shared" si="7"/>
        <v>0</v>
      </c>
      <c r="R32" s="225">
        <f t="shared" si="7"/>
        <v>0</v>
      </c>
      <c r="S32" s="225">
        <f t="shared" si="7"/>
        <v>0</v>
      </c>
      <c r="T32" s="225">
        <f t="shared" si="7"/>
        <v>0</v>
      </c>
      <c r="U32" s="225">
        <f t="shared" si="7"/>
        <v>0</v>
      </c>
      <c r="V32" s="225">
        <f t="shared" si="7"/>
        <v>0</v>
      </c>
      <c r="W32" s="225">
        <f t="shared" si="7"/>
        <v>0</v>
      </c>
      <c r="X32" s="225">
        <f t="shared" si="7"/>
        <v>0</v>
      </c>
      <c r="Y32" s="225">
        <f t="shared" si="7"/>
        <v>0</v>
      </c>
      <c r="Z32" s="225">
        <f t="shared" si="7"/>
        <v>0</v>
      </c>
      <c r="AA32" s="225">
        <f t="shared" si="7"/>
        <v>0</v>
      </c>
      <c r="AB32" s="225">
        <f t="shared" si="7"/>
        <v>0</v>
      </c>
      <c r="AC32" s="225">
        <f t="shared" si="7"/>
        <v>0</v>
      </c>
      <c r="AD32" s="225">
        <f t="shared" si="7"/>
        <v>0</v>
      </c>
      <c r="AE32" s="225">
        <f t="shared" si="7"/>
        <v>0</v>
      </c>
      <c r="AF32" s="225">
        <f t="shared" si="7"/>
        <v>0</v>
      </c>
      <c r="AG32" s="217" t="str">
        <f t="shared" ref="AG32" si="8">A32</f>
        <v>Total breaks (in out/paid)</v>
      </c>
      <c r="AH32" s="218"/>
      <c r="AI32" s="219">
        <f>SUM(B32:AF32)</f>
        <v>0</v>
      </c>
      <c r="AJ32" s="214"/>
      <c r="AK32" s="209"/>
      <c r="AL32" s="209"/>
      <c r="AM32" s="209"/>
      <c r="AN32" s="208"/>
      <c r="AO32" s="209"/>
      <c r="AP32" s="209"/>
      <c r="AQ32" s="119"/>
    </row>
    <row r="33" spans="1:43" s="38" customFormat="1" ht="3.75" customHeight="1" collapsed="1" x14ac:dyDescent="0.2">
      <c r="A33" s="220"/>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7"/>
      <c r="AG33" s="205"/>
      <c r="AH33" s="188"/>
      <c r="AI33" s="213"/>
      <c r="AJ33" s="214"/>
      <c r="AK33" s="209"/>
      <c r="AL33" s="209"/>
      <c r="AM33" s="209"/>
      <c r="AN33" s="208"/>
      <c r="AO33" s="209"/>
      <c r="AP33" s="209"/>
      <c r="AQ33" s="119"/>
    </row>
    <row r="34" spans="1:43" s="38" customFormat="1" ht="15" customHeight="1" outlineLevel="1" x14ac:dyDescent="0.2">
      <c r="A34" s="212" t="s">
        <v>206</v>
      </c>
      <c r="B34" s="92" t="str">
        <f ca="1">IF(EB.Anwendung&lt;&gt;"",IF(EB.Wochenarbeitszeit=50/24,INDEX(T.Pikett.Bereich,1),IF(DAY(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34="B",INDEX(T.Pikett.Bereich,4),IF(A34="E",INDEX(T.Pikett.Bereich,1),A34)))),"")</f>
        <v>No</v>
      </c>
      <c r="C34" s="92" t="str">
        <f ca="1">IF(EB.Anwendung&lt;&gt;"",IF(EB.Wochenarbeitszeit=50/24,INDEX(T.Pikett.Bereich,1),IF(DAY(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B34="B",INDEX(T.Pikett.Bereich,4),IF(B34="E",INDEX(T.Pikett.Bereich,1),B34)))),"")</f>
        <v>No</v>
      </c>
      <c r="D34" s="92" t="str">
        <f ca="1">IF(EB.Anwendung&lt;&gt;"",IF(EB.Wochenarbeitszeit=50/24,INDEX(T.Pikett.Bereich,1),IF(DAY(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C34="B",INDEX(T.Pikett.Bereich,4),IF(C34="E",INDEX(T.Pikett.Bereich,1),C34)))),"")</f>
        <v>No</v>
      </c>
      <c r="E34" s="92" t="str">
        <f ca="1">IF(EB.Anwendung&lt;&gt;"",IF(EB.Wochenarbeitszeit=50/24,INDEX(T.Pikett.Bereich,1),IF(DAY(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D34="B",INDEX(T.Pikett.Bereich,4),IF(D34="E",INDEX(T.Pikett.Bereich,1),D34)))),"")</f>
        <v>No</v>
      </c>
      <c r="F34" s="92" t="str">
        <f ca="1">IF(EB.Anwendung&lt;&gt;"",IF(EB.Wochenarbeitszeit=50/24,INDEX(T.Pikett.Bereich,1),IF(DAY(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E34="B",INDEX(T.Pikett.Bereich,4),IF(E34="E",INDEX(T.Pikett.Bereich,1),E34)))),"")</f>
        <v>No</v>
      </c>
      <c r="G34" s="92" t="str">
        <f ca="1">IF(EB.Anwendung&lt;&gt;"",IF(EB.Wochenarbeitszeit=50/24,INDEX(T.Pikett.Bereich,1),IF(DAY(G$10)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F34="B",INDEX(T.Pikett.Bereich,4),IF(F34="E",INDEX(T.Pikett.Bereich,1),F34)))),"")</f>
        <v>No</v>
      </c>
      <c r="H34" s="92" t="str">
        <f ca="1">IF(EB.Anwendung&lt;&gt;"",IF(EB.Wochenarbeitszeit=50/24,INDEX(T.Pikett.Bereich,1),IF(DAY(H$10)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G34="B",INDEX(T.Pikett.Bereich,4),IF(G34="E",INDEX(T.Pikett.Bereich,1),G34)))),"")</f>
        <v>No</v>
      </c>
      <c r="I34" s="92" t="str">
        <f ca="1">IF(EB.Anwendung&lt;&gt;"",IF(EB.Wochenarbeitszeit=50/24,INDEX(T.Pikett.Bereich,1),IF(DAY(I$10)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H34="B",INDEX(T.Pikett.Bereich,4),IF(H34="E",INDEX(T.Pikett.Bereich,1),H34)))),"")</f>
        <v>No</v>
      </c>
      <c r="J34" s="92" t="str">
        <f ca="1">IF(EB.Anwendung&lt;&gt;"",IF(EB.Wochenarbeitszeit=50/24,INDEX(T.Pikett.Bereich,1),IF(DAY(J$10)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I34="B",INDEX(T.Pikett.Bereich,4),IF(I34="E",INDEX(T.Pikett.Bereich,1),I34)))),"")</f>
        <v>No</v>
      </c>
      <c r="K34" s="92" t="str">
        <f ca="1">IF(EB.Anwendung&lt;&gt;"",IF(EB.Wochenarbeitszeit=50/24,INDEX(T.Pikett.Bereich,1),IF(DAY(K$10)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J34="B",INDEX(T.Pikett.Bereich,4),IF(J34="E",INDEX(T.Pikett.Bereich,1),J34)))),"")</f>
        <v>No</v>
      </c>
      <c r="L34" s="92" t="str">
        <f ca="1">IF(EB.Anwendung&lt;&gt;"",IF(EB.Wochenarbeitszeit=50/24,INDEX(T.Pikett.Bereich,1),IF(DAY(L$10)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K34="B",INDEX(T.Pikett.Bereich,4),IF(K34="E",INDEX(T.Pikett.Bereich,1),K34)))),"")</f>
        <v>No</v>
      </c>
      <c r="M34" s="92" t="str">
        <f ca="1">IF(EB.Anwendung&lt;&gt;"",IF(EB.Wochenarbeitszeit=50/24,INDEX(T.Pikett.Bereich,1),IF(DAY(M$10)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L34="B",INDEX(T.Pikett.Bereich,4),IF(L34="E",INDEX(T.Pikett.Bereich,1),L34)))),"")</f>
        <v>No</v>
      </c>
      <c r="N34" s="92" t="str">
        <f ca="1">IF(EB.Anwendung&lt;&gt;"",IF(EB.Wochenarbeitszeit=50/24,INDEX(T.Pikett.Bereich,1),IF(DAY(N$10)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M34="B",INDEX(T.Pikett.Bereich,4),IF(M34="E",INDEX(T.Pikett.Bereich,1),M34)))),"")</f>
        <v>No</v>
      </c>
      <c r="O34" s="92" t="str">
        <f ca="1">IF(EB.Anwendung&lt;&gt;"",IF(EB.Wochenarbeitszeit=50/24,INDEX(T.Pikett.Bereich,1),IF(DAY(O$10)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N34="B",INDEX(T.Pikett.Bereich,4),IF(N34="E",INDEX(T.Pikett.Bereich,1),N34)))),"")</f>
        <v>No</v>
      </c>
      <c r="P34" s="92" t="str">
        <f ca="1">IF(EB.Anwendung&lt;&gt;"",IF(EB.Wochenarbeitszeit=50/24,INDEX(T.Pikett.Bereich,1),IF(DAY(P$10)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O34="B",INDEX(T.Pikett.Bereich,4),IF(O34="E",INDEX(T.Pikett.Bereich,1),O34)))),"")</f>
        <v>No</v>
      </c>
      <c r="Q34" s="92" t="str">
        <f ca="1">IF(EB.Anwendung&lt;&gt;"",IF(EB.Wochenarbeitszeit=50/24,INDEX(T.Pikett.Bereich,1),IF(DAY(Q$10)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P34="B",INDEX(T.Pikett.Bereich,4),IF(P34="E",INDEX(T.Pikett.Bereich,1),P34)))),"")</f>
        <v>No</v>
      </c>
      <c r="R34" s="92" t="str">
        <f ca="1">IF(EB.Anwendung&lt;&gt;"",IF(EB.Wochenarbeitszeit=50/24,INDEX(T.Pikett.Bereich,1),IF(DAY(R$10)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Q34="B",INDEX(T.Pikett.Bereich,4),IF(Q34="E",INDEX(T.Pikett.Bereich,1),Q34)))),"")</f>
        <v>No</v>
      </c>
      <c r="S34" s="92" t="str">
        <f ca="1">IF(EB.Anwendung&lt;&gt;"",IF(EB.Wochenarbeitszeit=50/24,INDEX(T.Pikett.Bereich,1),IF(DAY(S$10)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R34="B",INDEX(T.Pikett.Bereich,4),IF(R34="E",INDEX(T.Pikett.Bereich,1),R34)))),"")</f>
        <v>No</v>
      </c>
      <c r="T34" s="92" t="str">
        <f ca="1">IF(EB.Anwendung&lt;&gt;"",IF(EB.Wochenarbeitszeit=50/24,INDEX(T.Pikett.Bereich,1),IF(DAY(T$10)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S34="B",INDEX(T.Pikett.Bereich,4),IF(S34="E",INDEX(T.Pikett.Bereich,1),S34)))),"")</f>
        <v>No</v>
      </c>
      <c r="U34" s="92" t="str">
        <f ca="1">IF(EB.Anwendung&lt;&gt;"",IF(EB.Wochenarbeitszeit=50/24,INDEX(T.Pikett.Bereich,1),IF(DAY(U$10)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T34="B",INDEX(T.Pikett.Bereich,4),IF(T34="E",INDEX(T.Pikett.Bereich,1),T34)))),"")</f>
        <v>No</v>
      </c>
      <c r="V34" s="92" t="str">
        <f ca="1">IF(EB.Anwendung&lt;&gt;"",IF(EB.Wochenarbeitszeit=50/24,INDEX(T.Pikett.Bereich,1),IF(DAY(V$10)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U34="B",INDEX(T.Pikett.Bereich,4),IF(U34="E",INDEX(T.Pikett.Bereich,1),U34)))),"")</f>
        <v>No</v>
      </c>
      <c r="W34" s="92" t="str">
        <f ca="1">IF(EB.Anwendung&lt;&gt;"",IF(EB.Wochenarbeitszeit=50/24,INDEX(T.Pikett.Bereich,1),IF(DAY(W$10)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V34="B",INDEX(T.Pikett.Bereich,4),IF(V34="E",INDEX(T.Pikett.Bereich,1),V34)))),"")</f>
        <v>No</v>
      </c>
      <c r="X34" s="92" t="str">
        <f ca="1">IF(EB.Anwendung&lt;&gt;"",IF(EB.Wochenarbeitszeit=50/24,INDEX(T.Pikett.Bereich,1),IF(DAY(X$10)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W34="B",INDEX(T.Pikett.Bereich,4),IF(W34="E",INDEX(T.Pikett.Bereich,1),W34)))),"")</f>
        <v>No</v>
      </c>
      <c r="Y34" s="92" t="str">
        <f ca="1">IF(EB.Anwendung&lt;&gt;"",IF(EB.Wochenarbeitszeit=50/24,INDEX(T.Pikett.Bereich,1),IF(DAY(Y$10)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X34="B",INDEX(T.Pikett.Bereich,4),IF(X34="E",INDEX(T.Pikett.Bereich,1),X34)))),"")</f>
        <v>No</v>
      </c>
      <c r="Z34" s="92" t="str">
        <f ca="1">IF(EB.Anwendung&lt;&gt;"",IF(EB.Wochenarbeitszeit=50/24,INDEX(T.Pikett.Bereich,1),IF(DAY(Z$10)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Y34="B",INDEX(T.Pikett.Bereich,4),IF(Y34="E",INDEX(T.Pikett.Bereich,1),Y34)))),"")</f>
        <v>No</v>
      </c>
      <c r="AA34" s="92" t="str">
        <f ca="1">IF(EB.Anwendung&lt;&gt;"",IF(EB.Wochenarbeitszeit=50/24,INDEX(T.Pikett.Bereich,1),IF(DAY(AA$10)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Z34="B",INDEX(T.Pikett.Bereich,4),IF(Z34="E",INDEX(T.Pikett.Bereich,1),Z34)))),"")</f>
        <v>No</v>
      </c>
      <c r="AB34" s="92" t="str">
        <f ca="1">IF(EB.Anwendung&lt;&gt;"",IF(EB.Wochenarbeitszeit=50/24,INDEX(T.Pikett.Bereich,1),IF(DAY(A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A34="B",INDEX(T.Pikett.Bereich,4),IF(AA34="E",INDEX(T.Pikett.Bereich,1),AA34)))),"")</f>
        <v>No</v>
      </c>
      <c r="AC34" s="92" t="str">
        <f ca="1">IF(EB.Anwendung&lt;&gt;"",IF(EB.Wochenarbeitszeit=50/24,INDEX(T.Pikett.Bereich,1),IF(DAY(A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B34="B",INDEX(T.Pikett.Bereich,4),IF(AB34="E",INDEX(T.Pikett.Bereich,1),AB34)))),"")</f>
        <v>No</v>
      </c>
      <c r="AD34" s="92" t="str">
        <f ca="1">IF(EB.Anwendung&lt;&gt;"",IF(EB.Wochenarbeitszeit=50/24,INDEX(T.Pikett.Bereich,1),IF(DAY(A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C34="B",INDEX(T.Pikett.Bereich,4),IF(AC34="E",INDEX(T.Pikett.Bereich,1),AC34)))),"")</f>
        <v>No</v>
      </c>
      <c r="AE34" s="92" t="str">
        <f ca="1">IF(EB.Anwendung&lt;&gt;"",IF(EB.Wochenarbeitszeit=50/24,INDEX(T.Pikett.Bereich,1),IF(DAY(A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D34="B",INDEX(T.Pikett.Bereich,4),IF(AD34="E",INDEX(T.Pikett.Bereich,1),AD34)))),"")</f>
        <v>No</v>
      </c>
      <c r="AF34" s="92" t="str">
        <f ca="1">IF(EB.Anwendung&lt;&gt;"",IF(EB.Wochenarbeitszeit=50/24,INDEX(T.Pikett.Bereich,1),IF(DAY(A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E34="B",INDEX(T.Pikett.Bereich,4),IF(AE34="E",INDEX(T.Pikett.Bereich,1),AE34)))),"")</f>
        <v>No</v>
      </c>
      <c r="AG34" s="217" t="str">
        <f ca="1">IF(OFFSET(B34,0,DAY(EOMONTH(Monat.Tag1,0))-1,1,1)="B",INDEX(T.Pikett.Bereich,4),IF(OFFSET(B34,0,DAY(EOMONTH(Monat.Tag1,0))-1,1,1)="E",INDEX(T.Pikett.Bereich,1),OFFSET(B34,0,DAY(EOMONTH(Monat.Tag1,0))-1,1,1)))</f>
        <v>No</v>
      </c>
      <c r="AH34" s="228"/>
      <c r="AI34" s="224"/>
      <c r="AJ34" s="229" t="str">
        <f ca="1">IF(T.50_Vetsuisse,IFERROR(SUMPRODUCT((B34:AF34=INDEX(T.Pikett.Bereich,4))*((B49:AF49)&lt;1/24*5)),0) &amp; " / " &amp; IFERROR(SUMPRODUCT((B34:AF34=INDEX(T.Pikett.Bereich,4))*((B49:AF49)&gt;=1/24*5)),0) &amp; " / " &amp; IFERROR(SUMPRODUCT((B34:AF34=INDEX(T.Pikett.Bereich,4))*((B49:AF49)&lt;1/24*5)),0) + IFERROR(SUMPRODUCT((B34:AF34=INDEX(T.Pikett.Bereich,4))*((B49:AF49)&gt;=1/24*5)),0),
IFERROR(SUMPRODUCT((B34:AF34=INDEX(T.Pikett.Bereich,4))*(WEEKDAY(B10:AF10,2)&lt;6)*(B11:AF11&lt;&gt;0)),0) &amp; " / " &amp; IFERROR(SUMPRODUCT((B34:AF34=INDEX(T.Pikett.Bereich,4))*(WEEKDAY(B10:AF10,2)&gt;5)*(B11:AF11&lt;&gt;0))+SUMPRODUCT((B34:AF34=INDEX(T.Pikett.Bereich,4))*(B11:AF11=0)),0) &amp; " / " &amp; IFERROR(SUMPRODUCT((B34:AF34=INDEX(T.Pikett.Bereich,4))*(WEEKDAY(B10:AF10,2)&lt;6)*(B11:AF11&lt;&gt;0)),0) + IFERROR(SUMPRODUCT((B34:AF34=INDEX(T.Pikett.Bereich,4))*(WEEKDAY(B10:AF10,2)&gt;5)*(B11:AF11&lt;&gt;0))+SUMPRODUCT((B34:AF34=INDEX(T.Pikett.Bereich,4))*(B11:AF11=0)),0))</f>
        <v>0 / 0 / 0</v>
      </c>
      <c r="AK34" s="209"/>
      <c r="AL34" s="209"/>
      <c r="AM34" s="209"/>
      <c r="AN34" s="208"/>
      <c r="AO34" s="209"/>
      <c r="AP34" s="209"/>
      <c r="AQ34" s="119"/>
    </row>
    <row r="35" spans="1:43" s="38" customFormat="1" ht="15" customHeight="1" outlineLevel="1" x14ac:dyDescent="0.2">
      <c r="A35" s="212" t="s">
        <v>74</v>
      </c>
      <c r="B35" s="40"/>
      <c r="C35" s="40"/>
      <c r="D35" s="40"/>
      <c r="E35" s="27"/>
      <c r="F35" s="40"/>
      <c r="G35" s="40"/>
      <c r="H35" s="40"/>
      <c r="I35" s="40"/>
      <c r="J35" s="27"/>
      <c r="K35" s="40"/>
      <c r="L35" s="27"/>
      <c r="M35" s="40"/>
      <c r="N35" s="40"/>
      <c r="O35" s="40"/>
      <c r="P35" s="40"/>
      <c r="Q35" s="27"/>
      <c r="R35" s="40"/>
      <c r="S35" s="27"/>
      <c r="T35" s="27"/>
      <c r="U35" s="40"/>
      <c r="V35" s="40"/>
      <c r="W35" s="40"/>
      <c r="X35" s="27"/>
      <c r="Y35" s="40"/>
      <c r="Z35" s="39"/>
      <c r="AA35" s="40"/>
      <c r="AB35" s="40"/>
      <c r="AC35" s="40"/>
      <c r="AD35" s="40"/>
      <c r="AE35" s="27"/>
      <c r="AF35" s="40"/>
      <c r="AG35" s="205" t="str">
        <f t="shared" si="2"/>
        <v>in</v>
      </c>
      <c r="AH35" s="188"/>
      <c r="AI35" s="213"/>
      <c r="AJ35" s="214"/>
      <c r="AK35" s="209"/>
      <c r="AL35" s="209"/>
      <c r="AM35" s="209"/>
      <c r="AN35" s="208"/>
      <c r="AO35" s="209"/>
      <c r="AP35" s="209"/>
      <c r="AQ35" s="119"/>
    </row>
    <row r="36" spans="1:43" s="38" customFormat="1" ht="15" customHeight="1" outlineLevel="1" x14ac:dyDescent="0.2">
      <c r="A36" s="212" t="s">
        <v>75</v>
      </c>
      <c r="B36" s="40"/>
      <c r="C36" s="40"/>
      <c r="D36" s="40"/>
      <c r="E36" s="27"/>
      <c r="F36" s="40"/>
      <c r="G36" s="40"/>
      <c r="H36" s="40"/>
      <c r="I36" s="40"/>
      <c r="J36" s="27"/>
      <c r="K36" s="40"/>
      <c r="L36" s="27"/>
      <c r="M36" s="40"/>
      <c r="N36" s="40"/>
      <c r="O36" s="40"/>
      <c r="P36" s="40"/>
      <c r="Q36" s="27"/>
      <c r="R36" s="40"/>
      <c r="S36" s="27"/>
      <c r="T36" s="27"/>
      <c r="U36" s="40"/>
      <c r="V36" s="40"/>
      <c r="W36" s="40"/>
      <c r="X36" s="27"/>
      <c r="Y36" s="40"/>
      <c r="Z36" s="39"/>
      <c r="AA36" s="40"/>
      <c r="AB36" s="40"/>
      <c r="AC36" s="40"/>
      <c r="AD36" s="40"/>
      <c r="AE36" s="27"/>
      <c r="AF36" s="40"/>
      <c r="AG36" s="205" t="str">
        <f t="shared" si="2"/>
        <v>out</v>
      </c>
      <c r="AH36" s="188"/>
      <c r="AI36" s="213"/>
      <c r="AJ36" s="214"/>
      <c r="AK36" s="209"/>
      <c r="AL36" s="209"/>
      <c r="AM36" s="209"/>
      <c r="AN36" s="208"/>
      <c r="AO36" s="209"/>
      <c r="AP36" s="209"/>
      <c r="AQ36" s="119"/>
    </row>
    <row r="37" spans="1:43" s="38" customFormat="1" ht="15" customHeight="1" outlineLevel="1" x14ac:dyDescent="0.2">
      <c r="A37" s="212" t="s">
        <v>74</v>
      </c>
      <c r="B37" s="40"/>
      <c r="C37" s="40"/>
      <c r="D37" s="40"/>
      <c r="E37" s="27"/>
      <c r="F37" s="40"/>
      <c r="G37" s="40"/>
      <c r="H37" s="40"/>
      <c r="I37" s="40"/>
      <c r="J37" s="27"/>
      <c r="K37" s="40"/>
      <c r="L37" s="27"/>
      <c r="M37" s="40"/>
      <c r="N37" s="40"/>
      <c r="O37" s="40"/>
      <c r="P37" s="40"/>
      <c r="Q37" s="27"/>
      <c r="R37" s="40"/>
      <c r="S37" s="27"/>
      <c r="T37" s="27"/>
      <c r="U37" s="40"/>
      <c r="V37" s="40"/>
      <c r="W37" s="40"/>
      <c r="X37" s="27"/>
      <c r="Y37" s="40"/>
      <c r="Z37" s="39"/>
      <c r="AA37" s="40"/>
      <c r="AB37" s="40"/>
      <c r="AC37" s="40"/>
      <c r="AD37" s="40"/>
      <c r="AE37" s="27"/>
      <c r="AF37" s="40"/>
      <c r="AG37" s="205" t="str">
        <f t="shared" si="2"/>
        <v>in</v>
      </c>
      <c r="AH37" s="188"/>
      <c r="AI37" s="213"/>
      <c r="AJ37" s="214"/>
      <c r="AK37" s="209"/>
      <c r="AL37" s="209"/>
      <c r="AM37" s="209"/>
      <c r="AN37" s="208"/>
      <c r="AO37" s="209"/>
      <c r="AP37" s="209"/>
      <c r="AQ37" s="119"/>
    </row>
    <row r="38" spans="1:43" s="38" customFormat="1" ht="15" customHeight="1" outlineLevel="1" x14ac:dyDescent="0.2">
      <c r="A38" s="212" t="s">
        <v>75</v>
      </c>
      <c r="B38" s="40"/>
      <c r="C38" s="40"/>
      <c r="D38" s="40"/>
      <c r="E38" s="27"/>
      <c r="F38" s="40"/>
      <c r="G38" s="40"/>
      <c r="H38" s="40"/>
      <c r="I38" s="40"/>
      <c r="J38" s="27"/>
      <c r="K38" s="40"/>
      <c r="L38" s="27"/>
      <c r="M38" s="40"/>
      <c r="N38" s="40"/>
      <c r="O38" s="40"/>
      <c r="P38" s="40"/>
      <c r="Q38" s="27"/>
      <c r="R38" s="40"/>
      <c r="S38" s="27"/>
      <c r="T38" s="27"/>
      <c r="U38" s="40"/>
      <c r="V38" s="40"/>
      <c r="W38" s="40"/>
      <c r="X38" s="27"/>
      <c r="Y38" s="40"/>
      <c r="Z38" s="39"/>
      <c r="AA38" s="40"/>
      <c r="AB38" s="40"/>
      <c r="AC38" s="40"/>
      <c r="AD38" s="40"/>
      <c r="AE38" s="27"/>
      <c r="AF38" s="40"/>
      <c r="AG38" s="205" t="str">
        <f t="shared" si="2"/>
        <v>out</v>
      </c>
      <c r="AH38" s="188"/>
      <c r="AI38" s="213"/>
      <c r="AJ38" s="214"/>
      <c r="AK38" s="209"/>
      <c r="AL38" s="209"/>
      <c r="AM38" s="209"/>
      <c r="AN38" s="208"/>
      <c r="AO38" s="209"/>
      <c r="AP38" s="209"/>
      <c r="AQ38" s="119"/>
    </row>
    <row r="39" spans="1:43" s="38" customFormat="1" ht="15" customHeight="1" outlineLevel="1" x14ac:dyDescent="0.2">
      <c r="A39" s="212" t="s">
        <v>74</v>
      </c>
      <c r="B39" s="40"/>
      <c r="C39" s="40"/>
      <c r="D39" s="40"/>
      <c r="E39" s="27"/>
      <c r="F39" s="40"/>
      <c r="G39" s="40"/>
      <c r="H39" s="40"/>
      <c r="I39" s="40"/>
      <c r="J39" s="27"/>
      <c r="K39" s="40"/>
      <c r="L39" s="27"/>
      <c r="M39" s="40"/>
      <c r="N39" s="40"/>
      <c r="O39" s="40"/>
      <c r="P39" s="40"/>
      <c r="Q39" s="27"/>
      <c r="R39" s="40"/>
      <c r="S39" s="27"/>
      <c r="T39" s="27"/>
      <c r="U39" s="40"/>
      <c r="V39" s="40"/>
      <c r="W39" s="40"/>
      <c r="X39" s="27"/>
      <c r="Y39" s="40"/>
      <c r="Z39" s="39"/>
      <c r="AA39" s="40"/>
      <c r="AB39" s="40"/>
      <c r="AC39" s="40"/>
      <c r="AD39" s="40"/>
      <c r="AE39" s="27"/>
      <c r="AF39" s="40"/>
      <c r="AG39" s="205" t="str">
        <f t="shared" si="2"/>
        <v>in</v>
      </c>
      <c r="AH39" s="188"/>
      <c r="AI39" s="213"/>
      <c r="AJ39" s="214"/>
      <c r="AK39" s="209"/>
      <c r="AL39" s="209"/>
      <c r="AM39" s="209"/>
      <c r="AN39" s="208"/>
      <c r="AO39" s="209"/>
      <c r="AP39" s="209"/>
      <c r="AQ39" s="119"/>
    </row>
    <row r="40" spans="1:43" s="38" customFormat="1" ht="15" customHeight="1" outlineLevel="1" x14ac:dyDescent="0.2">
      <c r="A40" s="212" t="s">
        <v>75</v>
      </c>
      <c r="B40" s="40"/>
      <c r="C40" s="40"/>
      <c r="D40" s="40"/>
      <c r="E40" s="27"/>
      <c r="F40" s="40"/>
      <c r="G40" s="40"/>
      <c r="H40" s="40"/>
      <c r="I40" s="40"/>
      <c r="J40" s="27"/>
      <c r="K40" s="40"/>
      <c r="L40" s="27"/>
      <c r="M40" s="40"/>
      <c r="N40" s="40"/>
      <c r="O40" s="40"/>
      <c r="P40" s="40"/>
      <c r="Q40" s="27"/>
      <c r="R40" s="40"/>
      <c r="S40" s="27"/>
      <c r="T40" s="27"/>
      <c r="U40" s="40"/>
      <c r="V40" s="40"/>
      <c r="W40" s="40"/>
      <c r="X40" s="27"/>
      <c r="Y40" s="40"/>
      <c r="Z40" s="39"/>
      <c r="AA40" s="40"/>
      <c r="AB40" s="40"/>
      <c r="AC40" s="40"/>
      <c r="AD40" s="40"/>
      <c r="AE40" s="27"/>
      <c r="AF40" s="40"/>
      <c r="AG40" s="205" t="str">
        <f t="shared" si="2"/>
        <v>out</v>
      </c>
      <c r="AH40" s="188"/>
      <c r="AI40" s="213"/>
      <c r="AJ40" s="214"/>
      <c r="AK40" s="209"/>
      <c r="AL40" s="209"/>
      <c r="AM40" s="209"/>
      <c r="AN40" s="208"/>
      <c r="AO40" s="209"/>
      <c r="AP40" s="209"/>
      <c r="AQ40" s="119"/>
    </row>
    <row r="41" spans="1:43" s="38" customFormat="1" ht="15" hidden="1" customHeight="1" outlineLevel="1" x14ac:dyDescent="0.2">
      <c r="A41" s="212" t="s">
        <v>74</v>
      </c>
      <c r="B41" s="40"/>
      <c r="C41" s="40"/>
      <c r="D41" s="40"/>
      <c r="E41" s="27"/>
      <c r="F41" s="40"/>
      <c r="G41" s="40"/>
      <c r="H41" s="40"/>
      <c r="I41" s="40"/>
      <c r="J41" s="27"/>
      <c r="K41" s="40"/>
      <c r="L41" s="27"/>
      <c r="M41" s="40"/>
      <c r="N41" s="40"/>
      <c r="O41" s="40"/>
      <c r="P41" s="40"/>
      <c r="Q41" s="27"/>
      <c r="R41" s="40"/>
      <c r="S41" s="27"/>
      <c r="T41" s="27"/>
      <c r="U41" s="40"/>
      <c r="V41" s="40"/>
      <c r="W41" s="40"/>
      <c r="X41" s="27"/>
      <c r="Y41" s="40"/>
      <c r="Z41" s="39"/>
      <c r="AA41" s="40"/>
      <c r="AB41" s="40"/>
      <c r="AC41" s="40"/>
      <c r="AD41" s="40"/>
      <c r="AE41" s="27"/>
      <c r="AF41" s="40"/>
      <c r="AG41" s="205" t="str">
        <f t="shared" si="2"/>
        <v>in</v>
      </c>
      <c r="AH41" s="188"/>
      <c r="AI41" s="213"/>
      <c r="AJ41" s="214"/>
      <c r="AK41" s="209"/>
      <c r="AL41" s="209"/>
      <c r="AM41" s="209"/>
      <c r="AN41" s="208"/>
      <c r="AO41" s="209"/>
      <c r="AP41" s="209"/>
      <c r="AQ41" s="119"/>
    </row>
    <row r="42" spans="1:43" s="38" customFormat="1" ht="15" hidden="1" customHeight="1" outlineLevel="1" x14ac:dyDescent="0.2">
      <c r="A42" s="212" t="s">
        <v>75</v>
      </c>
      <c r="B42" s="40"/>
      <c r="C42" s="40"/>
      <c r="D42" s="40"/>
      <c r="E42" s="27"/>
      <c r="F42" s="40"/>
      <c r="G42" s="40"/>
      <c r="H42" s="40"/>
      <c r="I42" s="40"/>
      <c r="J42" s="27"/>
      <c r="K42" s="40"/>
      <c r="L42" s="27"/>
      <c r="M42" s="40"/>
      <c r="N42" s="40"/>
      <c r="O42" s="40"/>
      <c r="P42" s="40"/>
      <c r="Q42" s="27"/>
      <c r="R42" s="40"/>
      <c r="S42" s="27"/>
      <c r="T42" s="27"/>
      <c r="U42" s="40"/>
      <c r="V42" s="40"/>
      <c r="W42" s="40"/>
      <c r="X42" s="27"/>
      <c r="Y42" s="40"/>
      <c r="Z42" s="39"/>
      <c r="AA42" s="40"/>
      <c r="AB42" s="40"/>
      <c r="AC42" s="40"/>
      <c r="AD42" s="40"/>
      <c r="AE42" s="27"/>
      <c r="AF42" s="40"/>
      <c r="AG42" s="205" t="str">
        <f t="shared" si="2"/>
        <v>out</v>
      </c>
      <c r="AH42" s="188"/>
      <c r="AI42" s="213"/>
      <c r="AJ42" s="214"/>
      <c r="AK42" s="209"/>
      <c r="AL42" s="209"/>
      <c r="AM42" s="209"/>
      <c r="AN42" s="208"/>
      <c r="AO42" s="209"/>
      <c r="AP42" s="209"/>
      <c r="AQ42" s="119"/>
    </row>
    <row r="43" spans="1:43" s="38" customFormat="1" ht="15" hidden="1" customHeight="1" outlineLevel="1" x14ac:dyDescent="0.2">
      <c r="A43" s="212" t="s">
        <v>74</v>
      </c>
      <c r="B43" s="40"/>
      <c r="C43" s="40"/>
      <c r="D43" s="40"/>
      <c r="E43" s="27"/>
      <c r="F43" s="40"/>
      <c r="G43" s="40"/>
      <c r="H43" s="40"/>
      <c r="I43" s="40"/>
      <c r="J43" s="27"/>
      <c r="K43" s="40"/>
      <c r="L43" s="27"/>
      <c r="M43" s="40"/>
      <c r="N43" s="40"/>
      <c r="O43" s="40"/>
      <c r="P43" s="40"/>
      <c r="Q43" s="27"/>
      <c r="R43" s="40"/>
      <c r="S43" s="27"/>
      <c r="T43" s="27"/>
      <c r="U43" s="40"/>
      <c r="V43" s="40"/>
      <c r="W43" s="40"/>
      <c r="X43" s="27"/>
      <c r="Y43" s="40"/>
      <c r="Z43" s="39"/>
      <c r="AA43" s="40"/>
      <c r="AB43" s="40"/>
      <c r="AC43" s="40"/>
      <c r="AD43" s="40"/>
      <c r="AE43" s="27"/>
      <c r="AF43" s="40"/>
      <c r="AG43" s="205" t="str">
        <f t="shared" si="2"/>
        <v>in</v>
      </c>
      <c r="AH43" s="188"/>
      <c r="AI43" s="213"/>
      <c r="AJ43" s="214"/>
      <c r="AK43" s="209"/>
      <c r="AL43" s="209"/>
      <c r="AM43" s="209"/>
      <c r="AN43" s="208"/>
      <c r="AO43" s="209"/>
      <c r="AP43" s="209"/>
      <c r="AQ43" s="119"/>
    </row>
    <row r="44" spans="1:43" s="38" customFormat="1" ht="15" hidden="1" customHeight="1" outlineLevel="1" x14ac:dyDescent="0.2">
      <c r="A44" s="212" t="s">
        <v>75</v>
      </c>
      <c r="B44" s="40"/>
      <c r="C44" s="40"/>
      <c r="D44" s="40"/>
      <c r="E44" s="27"/>
      <c r="F44" s="40"/>
      <c r="G44" s="40"/>
      <c r="H44" s="40"/>
      <c r="I44" s="40"/>
      <c r="J44" s="27"/>
      <c r="K44" s="40"/>
      <c r="L44" s="27"/>
      <c r="M44" s="40"/>
      <c r="N44" s="40"/>
      <c r="O44" s="40"/>
      <c r="P44" s="40"/>
      <c r="Q44" s="27"/>
      <c r="R44" s="40"/>
      <c r="S44" s="27"/>
      <c r="T44" s="27"/>
      <c r="U44" s="40"/>
      <c r="V44" s="40"/>
      <c r="W44" s="40"/>
      <c r="X44" s="27"/>
      <c r="Y44" s="40"/>
      <c r="Z44" s="39"/>
      <c r="AA44" s="40"/>
      <c r="AB44" s="40"/>
      <c r="AC44" s="40"/>
      <c r="AD44" s="40"/>
      <c r="AE44" s="27"/>
      <c r="AF44" s="40"/>
      <c r="AG44" s="205" t="str">
        <f t="shared" si="2"/>
        <v>out</v>
      </c>
      <c r="AH44" s="188"/>
      <c r="AI44" s="213"/>
      <c r="AJ44" s="214"/>
      <c r="AK44" s="209"/>
      <c r="AL44" s="209"/>
      <c r="AM44" s="209"/>
      <c r="AN44" s="208"/>
      <c r="AO44" s="209"/>
      <c r="AP44" s="209"/>
      <c r="AQ44" s="119"/>
    </row>
    <row r="45" spans="1:43" s="38" customFormat="1" ht="15" customHeight="1" outlineLevel="1" x14ac:dyDescent="0.2">
      <c r="A45" s="215" t="s">
        <v>207</v>
      </c>
      <c r="B45" s="216">
        <f>ROUND(((B36-B35)+(B38-B37)+(B40-B39)+(B42-B41)+(B44-B43))*1440,0)/1440</f>
        <v>0</v>
      </c>
      <c r="C45" s="216">
        <f t="shared" ref="C45:AF45" si="9">ROUND(((C36-C35)+(C38-C37)+(C40-C39)+(C42-C41)+(C44-C43))*1440,0)/1440</f>
        <v>0</v>
      </c>
      <c r="D45" s="216">
        <f t="shared" si="9"/>
        <v>0</v>
      </c>
      <c r="E45" s="216">
        <f t="shared" si="9"/>
        <v>0</v>
      </c>
      <c r="F45" s="216">
        <f t="shared" si="9"/>
        <v>0</v>
      </c>
      <c r="G45" s="216">
        <f t="shared" si="9"/>
        <v>0</v>
      </c>
      <c r="H45" s="216">
        <f t="shared" si="9"/>
        <v>0</v>
      </c>
      <c r="I45" s="216">
        <f t="shared" si="9"/>
        <v>0</v>
      </c>
      <c r="J45" s="216">
        <f t="shared" si="9"/>
        <v>0</v>
      </c>
      <c r="K45" s="216">
        <f t="shared" si="9"/>
        <v>0</v>
      </c>
      <c r="L45" s="216">
        <f t="shared" si="9"/>
        <v>0</v>
      </c>
      <c r="M45" s="216">
        <f t="shared" si="9"/>
        <v>0</v>
      </c>
      <c r="N45" s="216">
        <f t="shared" si="9"/>
        <v>0</v>
      </c>
      <c r="O45" s="216">
        <f t="shared" si="9"/>
        <v>0</v>
      </c>
      <c r="P45" s="216">
        <f t="shared" si="9"/>
        <v>0</v>
      </c>
      <c r="Q45" s="216">
        <f t="shared" si="9"/>
        <v>0</v>
      </c>
      <c r="R45" s="216">
        <f t="shared" si="9"/>
        <v>0</v>
      </c>
      <c r="S45" s="216">
        <f t="shared" si="9"/>
        <v>0</v>
      </c>
      <c r="T45" s="216">
        <f t="shared" si="9"/>
        <v>0</v>
      </c>
      <c r="U45" s="216">
        <f t="shared" si="9"/>
        <v>0</v>
      </c>
      <c r="V45" s="216">
        <f t="shared" si="9"/>
        <v>0</v>
      </c>
      <c r="W45" s="216">
        <f t="shared" si="9"/>
        <v>0</v>
      </c>
      <c r="X45" s="216">
        <f t="shared" si="9"/>
        <v>0</v>
      </c>
      <c r="Y45" s="216">
        <f t="shared" si="9"/>
        <v>0</v>
      </c>
      <c r="Z45" s="216">
        <f t="shared" si="9"/>
        <v>0</v>
      </c>
      <c r="AA45" s="216">
        <f t="shared" si="9"/>
        <v>0</v>
      </c>
      <c r="AB45" s="216">
        <f t="shared" si="9"/>
        <v>0</v>
      </c>
      <c r="AC45" s="216">
        <f t="shared" si="9"/>
        <v>0</v>
      </c>
      <c r="AD45" s="216">
        <f t="shared" si="9"/>
        <v>0</v>
      </c>
      <c r="AE45" s="216">
        <f t="shared" si="9"/>
        <v>0</v>
      </c>
      <c r="AF45" s="216">
        <f t="shared" si="9"/>
        <v>0</v>
      </c>
      <c r="AG45" s="217" t="str">
        <f t="shared" si="2"/>
        <v>Total on call standby in/out</v>
      </c>
      <c r="AH45" s="218"/>
      <c r="AI45" s="219">
        <f>SUM(B45:AF45)</f>
        <v>0</v>
      </c>
      <c r="AJ45" s="214"/>
      <c r="AK45" s="209"/>
      <c r="AL45" s="209"/>
      <c r="AM45" s="209"/>
      <c r="AN45" s="208"/>
      <c r="AO45" s="209"/>
      <c r="AP45" s="209"/>
      <c r="AQ45" s="119"/>
    </row>
    <row r="46" spans="1:43" s="38" customFormat="1" ht="3.75" customHeight="1" x14ac:dyDescent="0.2">
      <c r="A46" s="220"/>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213"/>
      <c r="AG46" s="205"/>
      <c r="AH46" s="188"/>
      <c r="AI46" s="213"/>
      <c r="AJ46" s="214"/>
      <c r="AK46" s="209"/>
      <c r="AL46" s="209"/>
      <c r="AM46" s="209"/>
      <c r="AN46" s="208"/>
      <c r="AO46" s="209"/>
      <c r="AP46" s="209"/>
      <c r="AQ46" s="119"/>
    </row>
    <row r="47" spans="1:43" s="38" customFormat="1" ht="16.5" hidden="1" customHeight="1" outlineLevel="1" x14ac:dyDescent="0.2">
      <c r="A47" s="215" t="s">
        <v>209</v>
      </c>
      <c r="B47" s="216">
        <f t="shared" ref="B47:AF47" si="10">IF(B45&gt;0,ROUND((B45-
IF(B35&lt;T.PikettVetsuissebis,MIN(T.PikettVetsuissebis-B35,B36-B35)+IF(B37&lt;T.PikettVetsuissebis,MIN(T.PikettVetsuissebis-B37,B38-B37)+IF(B39&lt;T.PikettVetsuissebis,MIN(T.PikettVetsuissebis-B39,B40-B39)+IF(B41&lt;T.PikettVetsuissebis,MIN(T.PikettVetsuissebis-B41,B42-B41)+IF(B43&lt;T.PikettVetsuissebis,MIN(T.PikettVetsuissebis-B43,B44-B43),0),0),0),0),0))*1440,0)/1440,0)</f>
        <v>0</v>
      </c>
      <c r="C47" s="216">
        <f t="shared" si="10"/>
        <v>0</v>
      </c>
      <c r="D47" s="216">
        <f t="shared" si="10"/>
        <v>0</v>
      </c>
      <c r="E47" s="216">
        <f t="shared" si="10"/>
        <v>0</v>
      </c>
      <c r="F47" s="216">
        <f t="shared" si="10"/>
        <v>0</v>
      </c>
      <c r="G47" s="216">
        <f t="shared" si="10"/>
        <v>0</v>
      </c>
      <c r="H47" s="216">
        <f t="shared" si="10"/>
        <v>0</v>
      </c>
      <c r="I47" s="216">
        <f t="shared" si="10"/>
        <v>0</v>
      </c>
      <c r="J47" s="216">
        <f t="shared" si="10"/>
        <v>0</v>
      </c>
      <c r="K47" s="216">
        <f t="shared" si="10"/>
        <v>0</v>
      </c>
      <c r="L47" s="216">
        <f t="shared" si="10"/>
        <v>0</v>
      </c>
      <c r="M47" s="216">
        <f t="shared" si="10"/>
        <v>0</v>
      </c>
      <c r="N47" s="216">
        <f t="shared" si="10"/>
        <v>0</v>
      </c>
      <c r="O47" s="216">
        <f t="shared" si="10"/>
        <v>0</v>
      </c>
      <c r="P47" s="216">
        <f t="shared" si="10"/>
        <v>0</v>
      </c>
      <c r="Q47" s="216">
        <f t="shared" si="10"/>
        <v>0</v>
      </c>
      <c r="R47" s="216">
        <f t="shared" si="10"/>
        <v>0</v>
      </c>
      <c r="S47" s="216">
        <f t="shared" si="10"/>
        <v>0</v>
      </c>
      <c r="T47" s="216">
        <f t="shared" si="10"/>
        <v>0</v>
      </c>
      <c r="U47" s="216">
        <f t="shared" si="10"/>
        <v>0</v>
      </c>
      <c r="V47" s="216">
        <f t="shared" si="10"/>
        <v>0</v>
      </c>
      <c r="W47" s="216">
        <f t="shared" si="10"/>
        <v>0</v>
      </c>
      <c r="X47" s="216">
        <f t="shared" si="10"/>
        <v>0</v>
      </c>
      <c r="Y47" s="216">
        <f t="shared" si="10"/>
        <v>0</v>
      </c>
      <c r="Z47" s="216">
        <f t="shared" si="10"/>
        <v>0</v>
      </c>
      <c r="AA47" s="216">
        <f t="shared" si="10"/>
        <v>0</v>
      </c>
      <c r="AB47" s="216">
        <f t="shared" si="10"/>
        <v>0</v>
      </c>
      <c r="AC47" s="216">
        <f t="shared" si="10"/>
        <v>0</v>
      </c>
      <c r="AD47" s="216">
        <f t="shared" si="10"/>
        <v>0</v>
      </c>
      <c r="AE47" s="216">
        <f t="shared" si="10"/>
        <v>0</v>
      </c>
      <c r="AF47" s="216">
        <f t="shared" si="10"/>
        <v>0</v>
      </c>
      <c r="AG47" s="217" t="str">
        <f t="shared" si="2"/>
        <v>Total on call hours today</v>
      </c>
      <c r="AH47" s="188"/>
      <c r="AI47" s="213"/>
      <c r="AJ47" s="214"/>
      <c r="AK47" s="209"/>
      <c r="AL47" s="209"/>
      <c r="AM47" s="209"/>
      <c r="AN47" s="208"/>
      <c r="AO47" s="209"/>
      <c r="AP47" s="209"/>
      <c r="AQ47" s="119"/>
    </row>
    <row r="48" spans="1:43" s="38" customFormat="1" ht="16.5" hidden="1" customHeight="1" outlineLevel="1" x14ac:dyDescent="0.2">
      <c r="A48" s="215" t="s">
        <v>208</v>
      </c>
      <c r="B48" s="225">
        <f t="shared" ref="B48:AF48" si="11">B45-B47</f>
        <v>0</v>
      </c>
      <c r="C48" s="225">
        <f t="shared" si="11"/>
        <v>0</v>
      </c>
      <c r="D48" s="225">
        <f t="shared" si="11"/>
        <v>0</v>
      </c>
      <c r="E48" s="225">
        <f t="shared" si="11"/>
        <v>0</v>
      </c>
      <c r="F48" s="225">
        <f t="shared" si="11"/>
        <v>0</v>
      </c>
      <c r="G48" s="225">
        <f t="shared" si="11"/>
        <v>0</v>
      </c>
      <c r="H48" s="225">
        <f t="shared" si="11"/>
        <v>0</v>
      </c>
      <c r="I48" s="225">
        <f t="shared" si="11"/>
        <v>0</v>
      </c>
      <c r="J48" s="225">
        <f t="shared" si="11"/>
        <v>0</v>
      </c>
      <c r="K48" s="225">
        <f t="shared" si="11"/>
        <v>0</v>
      </c>
      <c r="L48" s="225">
        <f t="shared" si="11"/>
        <v>0</v>
      </c>
      <c r="M48" s="225">
        <f t="shared" si="11"/>
        <v>0</v>
      </c>
      <c r="N48" s="225">
        <f t="shared" si="11"/>
        <v>0</v>
      </c>
      <c r="O48" s="225">
        <f t="shared" si="11"/>
        <v>0</v>
      </c>
      <c r="P48" s="225">
        <f t="shared" si="11"/>
        <v>0</v>
      </c>
      <c r="Q48" s="225">
        <f t="shared" si="11"/>
        <v>0</v>
      </c>
      <c r="R48" s="225">
        <f t="shared" si="11"/>
        <v>0</v>
      </c>
      <c r="S48" s="225">
        <f t="shared" si="11"/>
        <v>0</v>
      </c>
      <c r="T48" s="225">
        <f t="shared" si="11"/>
        <v>0</v>
      </c>
      <c r="U48" s="225">
        <f t="shared" si="11"/>
        <v>0</v>
      </c>
      <c r="V48" s="225">
        <f t="shared" si="11"/>
        <v>0</v>
      </c>
      <c r="W48" s="225">
        <f t="shared" si="11"/>
        <v>0</v>
      </c>
      <c r="X48" s="225">
        <f t="shared" si="11"/>
        <v>0</v>
      </c>
      <c r="Y48" s="225">
        <f t="shared" si="11"/>
        <v>0</v>
      </c>
      <c r="Z48" s="225">
        <f t="shared" si="11"/>
        <v>0</v>
      </c>
      <c r="AA48" s="225">
        <f t="shared" si="11"/>
        <v>0</v>
      </c>
      <c r="AB48" s="225">
        <f t="shared" si="11"/>
        <v>0</v>
      </c>
      <c r="AC48" s="225">
        <f t="shared" si="11"/>
        <v>0</v>
      </c>
      <c r="AD48" s="225">
        <f t="shared" si="11"/>
        <v>0</v>
      </c>
      <c r="AE48" s="225">
        <f t="shared" si="11"/>
        <v>0</v>
      </c>
      <c r="AF48" s="225">
        <f t="shared" si="11"/>
        <v>0</v>
      </c>
      <c r="AG48" s="217" t="str">
        <f t="shared" si="2"/>
        <v>Total on call hours yesterday</v>
      </c>
      <c r="AH48" s="188"/>
      <c r="AI48" s="213"/>
      <c r="AJ48" s="214"/>
      <c r="AK48" s="209"/>
      <c r="AL48" s="209"/>
      <c r="AM48" s="230">
        <f ca="1">IF(EB.Anwendung&lt;&gt;"",IF(MONTH(Monat.Tag1)=12,0,IF(MONTH(Monat.Tag1)=1,February!Monat.PikettgesternTag1,IF(MONTH(Monat.Tag1)=2,March!Monat.PikettgesternTag1,IF(MONTH(Monat.Tag1)=3,April!Monat.PikettgesternTag1,IF(MONTH(Monat.Tag1)=4,May!Monat.PikettgesternTag1,IF(MONTH(Monat.Tag1)=5,June!Monat.PikettgesternTag1,IF(MONTH(Monat.Tag1)=6,July!Monat.PikettgesternTag1,IF(MONTH(Monat.Tag1)=7,August!Monat.PikettgesternTag1,IF(MONTH(Monat.Tag1)=8,September!Monat.PikettgesternTag1,IF(MONTH(Monat.Tag1)=9,October!Monat.PikettgesternTag1,IF(MONTH(Monat.Tag1)=10,November!Monat.PikettgesternTag1,IF(MONTH(Monat.Tag1)=11,December!Monat.PikettgesternTag1,"")))))))))))),"")</f>
        <v>0</v>
      </c>
      <c r="AN48" s="208"/>
      <c r="AO48" s="209"/>
      <c r="AP48" s="209"/>
      <c r="AQ48" s="119"/>
    </row>
    <row r="49" spans="1:43" s="38" customFormat="1" ht="16.5" hidden="1" customHeight="1" outlineLevel="1" x14ac:dyDescent="0.2">
      <c r="A49" s="215" t="s">
        <v>210</v>
      </c>
      <c r="B49" s="216">
        <f t="shared" ref="B49:AF49" si="12">B47+IF(B$10=EOMONTH(B$10,0),$AM48,C48)</f>
        <v>0</v>
      </c>
      <c r="C49" s="216">
        <f t="shared" si="12"/>
        <v>0</v>
      </c>
      <c r="D49" s="216">
        <f t="shared" si="12"/>
        <v>0</v>
      </c>
      <c r="E49" s="216">
        <f t="shared" si="12"/>
        <v>0</v>
      </c>
      <c r="F49" s="216">
        <f t="shared" si="12"/>
        <v>0</v>
      </c>
      <c r="G49" s="216">
        <f t="shared" si="12"/>
        <v>0</v>
      </c>
      <c r="H49" s="216">
        <f t="shared" si="12"/>
        <v>0</v>
      </c>
      <c r="I49" s="216">
        <f t="shared" si="12"/>
        <v>0</v>
      </c>
      <c r="J49" s="216">
        <f t="shared" si="12"/>
        <v>0</v>
      </c>
      <c r="K49" s="216">
        <f t="shared" si="12"/>
        <v>0</v>
      </c>
      <c r="L49" s="216">
        <f t="shared" si="12"/>
        <v>0</v>
      </c>
      <c r="M49" s="216">
        <f t="shared" si="12"/>
        <v>0</v>
      </c>
      <c r="N49" s="216">
        <f t="shared" si="12"/>
        <v>0</v>
      </c>
      <c r="O49" s="216">
        <f t="shared" si="12"/>
        <v>0</v>
      </c>
      <c r="P49" s="216">
        <f t="shared" si="12"/>
        <v>0</v>
      </c>
      <c r="Q49" s="216">
        <f t="shared" si="12"/>
        <v>0</v>
      </c>
      <c r="R49" s="216">
        <f t="shared" si="12"/>
        <v>0</v>
      </c>
      <c r="S49" s="216">
        <f t="shared" si="12"/>
        <v>0</v>
      </c>
      <c r="T49" s="216">
        <f t="shared" si="12"/>
        <v>0</v>
      </c>
      <c r="U49" s="216">
        <f t="shared" si="12"/>
        <v>0</v>
      </c>
      <c r="V49" s="216">
        <f t="shared" si="12"/>
        <v>0</v>
      </c>
      <c r="W49" s="216">
        <f t="shared" si="12"/>
        <v>0</v>
      </c>
      <c r="X49" s="216">
        <f t="shared" si="12"/>
        <v>0</v>
      </c>
      <c r="Y49" s="216">
        <f t="shared" si="12"/>
        <v>0</v>
      </c>
      <c r="Z49" s="216">
        <f t="shared" si="12"/>
        <v>0</v>
      </c>
      <c r="AA49" s="216">
        <f t="shared" si="12"/>
        <v>0</v>
      </c>
      <c r="AB49" s="216">
        <f t="shared" si="12"/>
        <v>0</v>
      </c>
      <c r="AC49" s="216">
        <f t="shared" si="12"/>
        <v>0</v>
      </c>
      <c r="AD49" s="216">
        <f t="shared" si="12"/>
        <v>0</v>
      </c>
      <c r="AE49" s="216">
        <f t="shared" si="12"/>
        <v>0</v>
      </c>
      <c r="AF49" s="216">
        <f t="shared" ca="1" si="12"/>
        <v>0</v>
      </c>
      <c r="AG49" s="217" t="str">
        <f t="shared" si="2"/>
        <v>Total on call standby hours</v>
      </c>
      <c r="AH49" s="218"/>
      <c r="AI49" s="219">
        <f ca="1">SUM(B49:AF49)</f>
        <v>0</v>
      </c>
      <c r="AJ49" s="214"/>
      <c r="AK49" s="209"/>
      <c r="AL49" s="209"/>
      <c r="AM49" s="209"/>
      <c r="AN49" s="208"/>
      <c r="AO49" s="209"/>
      <c r="AP49" s="209"/>
      <c r="AQ49" s="119"/>
    </row>
    <row r="50" spans="1:43" s="38" customFormat="1" ht="3.75" customHeight="1" collapsed="1" x14ac:dyDescent="0.2">
      <c r="A50" s="231"/>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2"/>
      <c r="AG50" s="232"/>
      <c r="AH50" s="233"/>
      <c r="AI50" s="222"/>
      <c r="AJ50" s="214"/>
      <c r="AK50" s="209"/>
      <c r="AL50" s="209"/>
      <c r="AM50" s="209"/>
      <c r="AN50" s="208"/>
      <c r="AO50" s="209"/>
      <c r="AP50" s="209"/>
      <c r="AQ50" s="119"/>
    </row>
    <row r="51" spans="1:43" s="38" customFormat="1" ht="15" customHeight="1" x14ac:dyDescent="0.2">
      <c r="A51" s="215" t="s">
        <v>76</v>
      </c>
      <c r="B51" s="234">
        <f>ROUND((B23+B45+B84+SUM(B86:B95)+IF(OR(T.50_Vetsuisse,T.ServiceCenterIrchel),B71,0))*1440,0)/1440</f>
        <v>0</v>
      </c>
      <c r="C51" s="234">
        <f t="shared" ref="C51:AF51" si="13">ROUND((C23+C45+C84+SUM(C86:C95)+IF(OR(T.50_Vetsuisse,T.ServiceCenterIrchel),C71,0))*1440,0)/1440</f>
        <v>0</v>
      </c>
      <c r="D51" s="234">
        <f t="shared" si="13"/>
        <v>0</v>
      </c>
      <c r="E51" s="235">
        <f t="shared" si="13"/>
        <v>0</v>
      </c>
      <c r="F51" s="234">
        <f t="shared" si="13"/>
        <v>0</v>
      </c>
      <c r="G51" s="234">
        <f t="shared" si="13"/>
        <v>0</v>
      </c>
      <c r="H51" s="234">
        <f t="shared" si="13"/>
        <v>0</v>
      </c>
      <c r="I51" s="234">
        <f t="shared" si="13"/>
        <v>0</v>
      </c>
      <c r="J51" s="236">
        <f t="shared" si="13"/>
        <v>0</v>
      </c>
      <c r="K51" s="234">
        <f t="shared" si="13"/>
        <v>0</v>
      </c>
      <c r="L51" s="236">
        <f t="shared" si="13"/>
        <v>0</v>
      </c>
      <c r="M51" s="234">
        <f t="shared" si="13"/>
        <v>0</v>
      </c>
      <c r="N51" s="234">
        <f t="shared" si="13"/>
        <v>0</v>
      </c>
      <c r="O51" s="234">
        <f t="shared" si="13"/>
        <v>0</v>
      </c>
      <c r="P51" s="234">
        <f t="shared" si="13"/>
        <v>0</v>
      </c>
      <c r="Q51" s="236">
        <f t="shared" si="13"/>
        <v>0</v>
      </c>
      <c r="R51" s="234">
        <f t="shared" si="13"/>
        <v>0</v>
      </c>
      <c r="S51" s="236">
        <f t="shared" si="13"/>
        <v>0</v>
      </c>
      <c r="T51" s="236">
        <f t="shared" si="13"/>
        <v>0</v>
      </c>
      <c r="U51" s="234">
        <f t="shared" si="13"/>
        <v>0</v>
      </c>
      <c r="V51" s="234">
        <f t="shared" si="13"/>
        <v>0</v>
      </c>
      <c r="W51" s="234">
        <f t="shared" si="13"/>
        <v>0</v>
      </c>
      <c r="X51" s="236">
        <f t="shared" si="13"/>
        <v>0</v>
      </c>
      <c r="Y51" s="234">
        <f t="shared" si="13"/>
        <v>0</v>
      </c>
      <c r="Z51" s="237">
        <f t="shared" si="13"/>
        <v>0</v>
      </c>
      <c r="AA51" s="234">
        <f t="shared" si="13"/>
        <v>0</v>
      </c>
      <c r="AB51" s="234">
        <f t="shared" si="13"/>
        <v>0</v>
      </c>
      <c r="AC51" s="234">
        <f t="shared" si="13"/>
        <v>0</v>
      </c>
      <c r="AD51" s="234">
        <f t="shared" si="13"/>
        <v>0</v>
      </c>
      <c r="AE51" s="236">
        <f t="shared" si="13"/>
        <v>0</v>
      </c>
      <c r="AF51" s="234">
        <f t="shared" si="13"/>
        <v>0</v>
      </c>
      <c r="AG51" s="217" t="str">
        <f t="shared" si="2"/>
        <v>Actual hours worked</v>
      </c>
      <c r="AH51" s="218"/>
      <c r="AI51" s="238">
        <f>SUM(B51:AF51)</f>
        <v>0</v>
      </c>
      <c r="AJ51" s="214"/>
      <c r="AK51" s="209"/>
      <c r="AL51" s="209"/>
      <c r="AM51" s="209"/>
      <c r="AN51" s="239">
        <f ca="1">IF(WEEKDAY(EOMONTH(Monat.Tag1,0),2)=7,0,MAX(0,SUM(OFFSET(B51,0,DAY(EOMONTH(Monat.Tag1,0))-WEEKDAY(EOMONTH(Monat.Tag1,0),2),1,WEEKDAY(EOMONTH(Monat.Tag1,0),2)))))</f>
        <v>0</v>
      </c>
      <c r="AO51" s="209"/>
      <c r="AP51" s="209"/>
      <c r="AQ51" s="119"/>
    </row>
    <row r="52" spans="1:43" s="38" customFormat="1" ht="15" customHeight="1" outlineLevel="1" x14ac:dyDescent="0.2">
      <c r="A52" s="212" t="s">
        <v>211</v>
      </c>
      <c r="B52" s="78">
        <f t="shared" ref="B52:AF52" ca="1" si="14">IF(B$12=0,0,ROUND(INDEX(Monat.RAZ1_7.Bereich,WEEKDAY(B$10,2))*B$11*1440,0)/1440)</f>
        <v>0</v>
      </c>
      <c r="C52" s="78">
        <f t="shared" ca="1" si="14"/>
        <v>0</v>
      </c>
      <c r="D52" s="79">
        <f t="shared" ca="1" si="14"/>
        <v>0.35</v>
      </c>
      <c r="E52" s="78">
        <f t="shared" ca="1" si="14"/>
        <v>0</v>
      </c>
      <c r="F52" s="79">
        <f t="shared" ca="1" si="14"/>
        <v>0</v>
      </c>
      <c r="G52" s="79">
        <f t="shared" ca="1" si="14"/>
        <v>0.35</v>
      </c>
      <c r="H52" s="79">
        <f t="shared" ca="1" si="14"/>
        <v>0.35</v>
      </c>
      <c r="I52" s="79">
        <f t="shared" ca="1" si="14"/>
        <v>0.35</v>
      </c>
      <c r="J52" s="78">
        <f t="shared" ca="1" si="14"/>
        <v>0.35</v>
      </c>
      <c r="K52" s="79">
        <f t="shared" ca="1" si="14"/>
        <v>0.35</v>
      </c>
      <c r="L52" s="78">
        <f t="shared" ca="1" si="14"/>
        <v>0</v>
      </c>
      <c r="M52" s="79">
        <f t="shared" ca="1" si="14"/>
        <v>0</v>
      </c>
      <c r="N52" s="79">
        <f t="shared" ca="1" si="14"/>
        <v>0.35</v>
      </c>
      <c r="O52" s="79">
        <f t="shared" ca="1" si="14"/>
        <v>0.35</v>
      </c>
      <c r="P52" s="79">
        <f t="shared" ca="1" si="14"/>
        <v>0.35</v>
      </c>
      <c r="Q52" s="78">
        <f t="shared" ca="1" si="14"/>
        <v>0.35</v>
      </c>
      <c r="R52" s="79">
        <f t="shared" ca="1" si="14"/>
        <v>0.35</v>
      </c>
      <c r="S52" s="78">
        <f t="shared" ca="1" si="14"/>
        <v>0</v>
      </c>
      <c r="T52" s="78">
        <f t="shared" ca="1" si="14"/>
        <v>0</v>
      </c>
      <c r="U52" s="79">
        <f t="shared" ca="1" si="14"/>
        <v>0.35</v>
      </c>
      <c r="V52" s="79">
        <f t="shared" ca="1" si="14"/>
        <v>0.35</v>
      </c>
      <c r="W52" s="79">
        <f t="shared" ca="1" si="14"/>
        <v>0.35</v>
      </c>
      <c r="X52" s="78">
        <f t="shared" ca="1" si="14"/>
        <v>0.35</v>
      </c>
      <c r="Y52" s="79">
        <f t="shared" ca="1" si="14"/>
        <v>0.35</v>
      </c>
      <c r="Z52" s="80">
        <f t="shared" ca="1" si="14"/>
        <v>0</v>
      </c>
      <c r="AA52" s="79">
        <f t="shared" ca="1" si="14"/>
        <v>0</v>
      </c>
      <c r="AB52" s="79">
        <f t="shared" ca="1" si="14"/>
        <v>0.35</v>
      </c>
      <c r="AC52" s="79">
        <f t="shared" ca="1" si="14"/>
        <v>0.35</v>
      </c>
      <c r="AD52" s="79">
        <f t="shared" ca="1" si="14"/>
        <v>0.35</v>
      </c>
      <c r="AE52" s="78">
        <f t="shared" ca="1" si="14"/>
        <v>0.35</v>
      </c>
      <c r="AF52" s="79">
        <f t="shared" ca="1" si="14"/>
        <v>0.35</v>
      </c>
      <c r="AG52" s="240" t="str">
        <f t="shared" si="2"/>
        <v>Standardized hours (Info)</v>
      </c>
      <c r="AH52" s="218"/>
      <c r="AI52" s="213"/>
      <c r="AJ52" s="214"/>
      <c r="AK52" s="209"/>
      <c r="AL52" s="209"/>
      <c r="AM52" s="209"/>
      <c r="AN52" s="208"/>
      <c r="AO52" s="209"/>
      <c r="AP52" s="209"/>
      <c r="AQ52" s="119"/>
    </row>
    <row r="53" spans="1:43" s="38" customFormat="1" ht="15" customHeight="1" x14ac:dyDescent="0.2">
      <c r="A53" s="212" t="s">
        <v>212</v>
      </c>
      <c r="B53" s="241">
        <f t="shared" ref="B53:AF53" ca="1" si="15">IF(B$12=0,0,ROUND(INDEX(EB.AZSOLLTag100.Bereich,MATCH(INDEX(EB.Monate.Bereich,MONTH(Monat.Tag1)),EB.Monate.Bereich,0))*B$11*IF(WEEKDAY(B$10,2)&gt;5,0,1)*$V$2/100*1440,0)/1440)</f>
        <v>0</v>
      </c>
      <c r="C53" s="241">
        <f t="shared" ca="1" si="15"/>
        <v>0</v>
      </c>
      <c r="D53" s="241">
        <f t="shared" ca="1" si="15"/>
        <v>0.35</v>
      </c>
      <c r="E53" s="241">
        <f t="shared" ca="1" si="15"/>
        <v>0</v>
      </c>
      <c r="F53" s="241">
        <f t="shared" ca="1" si="15"/>
        <v>0</v>
      </c>
      <c r="G53" s="241">
        <f t="shared" ca="1" si="15"/>
        <v>0.35</v>
      </c>
      <c r="H53" s="241">
        <f t="shared" ca="1" si="15"/>
        <v>0.35</v>
      </c>
      <c r="I53" s="241">
        <f t="shared" ca="1" si="15"/>
        <v>0.35</v>
      </c>
      <c r="J53" s="241">
        <f t="shared" ca="1" si="15"/>
        <v>0.35</v>
      </c>
      <c r="K53" s="241">
        <f t="shared" ca="1" si="15"/>
        <v>0.35</v>
      </c>
      <c r="L53" s="241">
        <f t="shared" ca="1" si="15"/>
        <v>0</v>
      </c>
      <c r="M53" s="241">
        <f t="shared" ca="1" si="15"/>
        <v>0</v>
      </c>
      <c r="N53" s="241">
        <f t="shared" ca="1" si="15"/>
        <v>0.35</v>
      </c>
      <c r="O53" s="241">
        <f t="shared" ca="1" si="15"/>
        <v>0.35</v>
      </c>
      <c r="P53" s="241">
        <f t="shared" ca="1" si="15"/>
        <v>0.35</v>
      </c>
      <c r="Q53" s="241">
        <f t="shared" ca="1" si="15"/>
        <v>0.35</v>
      </c>
      <c r="R53" s="241">
        <f t="shared" ca="1" si="15"/>
        <v>0.35</v>
      </c>
      <c r="S53" s="241">
        <f t="shared" ca="1" si="15"/>
        <v>0</v>
      </c>
      <c r="T53" s="241">
        <f t="shared" ca="1" si="15"/>
        <v>0</v>
      </c>
      <c r="U53" s="241">
        <f t="shared" ca="1" si="15"/>
        <v>0.35</v>
      </c>
      <c r="V53" s="241">
        <f t="shared" ca="1" si="15"/>
        <v>0.35</v>
      </c>
      <c r="W53" s="241">
        <f t="shared" ca="1" si="15"/>
        <v>0.35</v>
      </c>
      <c r="X53" s="241">
        <f t="shared" ca="1" si="15"/>
        <v>0.35</v>
      </c>
      <c r="Y53" s="241">
        <f t="shared" ca="1" si="15"/>
        <v>0.35</v>
      </c>
      <c r="Z53" s="241">
        <f t="shared" ca="1" si="15"/>
        <v>0</v>
      </c>
      <c r="AA53" s="241">
        <f t="shared" ca="1" si="15"/>
        <v>0</v>
      </c>
      <c r="AB53" s="241">
        <f t="shared" ca="1" si="15"/>
        <v>0.35</v>
      </c>
      <c r="AC53" s="241">
        <f t="shared" ca="1" si="15"/>
        <v>0.35</v>
      </c>
      <c r="AD53" s="241">
        <f t="shared" ca="1" si="15"/>
        <v>0.35</v>
      </c>
      <c r="AE53" s="241">
        <f t="shared" ca="1" si="15"/>
        <v>0.35</v>
      </c>
      <c r="AF53" s="241">
        <f t="shared" ca="1" si="15"/>
        <v>0.35</v>
      </c>
      <c r="AG53" s="205" t="str">
        <f t="shared" si="2"/>
        <v>Req. hours of work FTE</v>
      </c>
      <c r="AH53" s="218"/>
      <c r="AI53" s="238">
        <f ca="1">SUM(B53:AF53)</f>
        <v>7.349999999999997</v>
      </c>
      <c r="AJ53" s="214"/>
      <c r="AK53" s="209"/>
      <c r="AL53" s="209"/>
      <c r="AM53" s="209"/>
      <c r="AN53" s="208"/>
      <c r="AO53" s="209"/>
      <c r="AP53" s="209"/>
      <c r="AQ53" s="119"/>
    </row>
    <row r="54" spans="1:43" s="38" customFormat="1" ht="15" hidden="1" customHeight="1" outlineLevel="1" x14ac:dyDescent="0.2">
      <c r="A54" s="212" t="s">
        <v>213</v>
      </c>
      <c r="B54" s="241">
        <f t="shared" ref="B54:AF54" ca="1" si="16">ROUND(INDEX(EB.AZSOLLTag100.Bereich,MATCH(INDEX(EB.Monate.Bereich,MONTH(Monat.Tag1)),EB.Monate.Bereich,0))*B$11*IF(WEEKDAY(B$10,2)&gt;5,0,1)*1440,0)/1440</f>
        <v>0</v>
      </c>
      <c r="C54" s="241">
        <f t="shared" ca="1" si="16"/>
        <v>0</v>
      </c>
      <c r="D54" s="242">
        <f t="shared" ca="1" si="16"/>
        <v>0.35</v>
      </c>
      <c r="E54" s="241">
        <f t="shared" ca="1" si="16"/>
        <v>0</v>
      </c>
      <c r="F54" s="242">
        <f t="shared" ca="1" si="16"/>
        <v>0</v>
      </c>
      <c r="G54" s="242">
        <f t="shared" ca="1" si="16"/>
        <v>0.35</v>
      </c>
      <c r="H54" s="242">
        <f t="shared" ca="1" si="16"/>
        <v>0.35</v>
      </c>
      <c r="I54" s="242">
        <f t="shared" ca="1" si="16"/>
        <v>0.35</v>
      </c>
      <c r="J54" s="241">
        <f t="shared" ca="1" si="16"/>
        <v>0.35</v>
      </c>
      <c r="K54" s="242">
        <f t="shared" ca="1" si="16"/>
        <v>0.35</v>
      </c>
      <c r="L54" s="241">
        <f t="shared" ca="1" si="16"/>
        <v>0</v>
      </c>
      <c r="M54" s="242">
        <f t="shared" ca="1" si="16"/>
        <v>0</v>
      </c>
      <c r="N54" s="242">
        <f t="shared" ca="1" si="16"/>
        <v>0.35</v>
      </c>
      <c r="O54" s="242">
        <f t="shared" ca="1" si="16"/>
        <v>0.35</v>
      </c>
      <c r="P54" s="242">
        <f t="shared" ca="1" si="16"/>
        <v>0.35</v>
      </c>
      <c r="Q54" s="241">
        <f t="shared" ca="1" si="16"/>
        <v>0.35</v>
      </c>
      <c r="R54" s="242">
        <f t="shared" ca="1" si="16"/>
        <v>0.35</v>
      </c>
      <c r="S54" s="241">
        <f t="shared" ca="1" si="16"/>
        <v>0</v>
      </c>
      <c r="T54" s="241">
        <f t="shared" ca="1" si="16"/>
        <v>0</v>
      </c>
      <c r="U54" s="242">
        <f t="shared" ca="1" si="16"/>
        <v>0.35</v>
      </c>
      <c r="V54" s="242">
        <f t="shared" ca="1" si="16"/>
        <v>0.35</v>
      </c>
      <c r="W54" s="242">
        <f t="shared" ca="1" si="16"/>
        <v>0.35</v>
      </c>
      <c r="X54" s="241">
        <f t="shared" ca="1" si="16"/>
        <v>0.35</v>
      </c>
      <c r="Y54" s="242">
        <f t="shared" ca="1" si="16"/>
        <v>0.35</v>
      </c>
      <c r="Z54" s="243">
        <f t="shared" ca="1" si="16"/>
        <v>0</v>
      </c>
      <c r="AA54" s="242">
        <f t="shared" ca="1" si="16"/>
        <v>0</v>
      </c>
      <c r="AB54" s="242">
        <f t="shared" ca="1" si="16"/>
        <v>0.35</v>
      </c>
      <c r="AC54" s="242">
        <f t="shared" ca="1" si="16"/>
        <v>0.35</v>
      </c>
      <c r="AD54" s="242">
        <f t="shared" ca="1" si="16"/>
        <v>0.35</v>
      </c>
      <c r="AE54" s="241">
        <f t="shared" ca="1" si="16"/>
        <v>0.35</v>
      </c>
      <c r="AF54" s="242">
        <f t="shared" ca="1" si="16"/>
        <v>0.35</v>
      </c>
      <c r="AG54" s="205" t="str">
        <f t="shared" si="2"/>
        <v>Req. hours of work 100%</v>
      </c>
      <c r="AH54" s="218"/>
      <c r="AI54" s="238">
        <f ca="1">SUM(B54:AF54)</f>
        <v>7.349999999999997</v>
      </c>
      <c r="AJ54" s="214"/>
      <c r="AK54" s="209"/>
      <c r="AL54" s="209"/>
      <c r="AM54" s="209"/>
      <c r="AN54" s="208"/>
      <c r="AO54" s="209"/>
      <c r="AP54" s="209"/>
      <c r="AQ54" s="119"/>
    </row>
    <row r="55" spans="1:43" s="38" customFormat="1" ht="15" customHeight="1" collapsed="1" x14ac:dyDescent="0.2">
      <c r="A55" s="244" t="s">
        <v>77</v>
      </c>
      <c r="B55" s="234">
        <f ca="1">ROUND((B51-B53)*1440,0)/1440</f>
        <v>0</v>
      </c>
      <c r="C55" s="234">
        <f t="shared" ref="C55:AF55" ca="1" si="17">ROUND((C51-C53)*1440,0)/1440</f>
        <v>0</v>
      </c>
      <c r="D55" s="234">
        <f t="shared" ca="1" si="17"/>
        <v>-0.35</v>
      </c>
      <c r="E55" s="236">
        <f t="shared" ca="1" si="17"/>
        <v>0</v>
      </c>
      <c r="F55" s="234">
        <f t="shared" ca="1" si="17"/>
        <v>0</v>
      </c>
      <c r="G55" s="234">
        <f t="shared" ca="1" si="17"/>
        <v>-0.35</v>
      </c>
      <c r="H55" s="234">
        <f t="shared" ca="1" si="17"/>
        <v>-0.35</v>
      </c>
      <c r="I55" s="234">
        <f t="shared" ca="1" si="17"/>
        <v>-0.35</v>
      </c>
      <c r="J55" s="236">
        <f t="shared" ca="1" si="17"/>
        <v>-0.35</v>
      </c>
      <c r="K55" s="234">
        <f t="shared" ca="1" si="17"/>
        <v>-0.35</v>
      </c>
      <c r="L55" s="236">
        <f t="shared" ca="1" si="17"/>
        <v>0</v>
      </c>
      <c r="M55" s="234">
        <f t="shared" ca="1" si="17"/>
        <v>0</v>
      </c>
      <c r="N55" s="234">
        <f t="shared" ca="1" si="17"/>
        <v>-0.35</v>
      </c>
      <c r="O55" s="234">
        <f t="shared" ca="1" si="17"/>
        <v>-0.35</v>
      </c>
      <c r="P55" s="234">
        <f t="shared" ca="1" si="17"/>
        <v>-0.35</v>
      </c>
      <c r="Q55" s="236">
        <f t="shared" ca="1" si="17"/>
        <v>-0.35</v>
      </c>
      <c r="R55" s="234">
        <f t="shared" ca="1" si="17"/>
        <v>-0.35</v>
      </c>
      <c r="S55" s="236">
        <f t="shared" ca="1" si="17"/>
        <v>0</v>
      </c>
      <c r="T55" s="236">
        <f t="shared" ca="1" si="17"/>
        <v>0</v>
      </c>
      <c r="U55" s="234">
        <f t="shared" ca="1" si="17"/>
        <v>-0.35</v>
      </c>
      <c r="V55" s="234">
        <f t="shared" ca="1" si="17"/>
        <v>-0.35</v>
      </c>
      <c r="W55" s="234">
        <f t="shared" ca="1" si="17"/>
        <v>-0.35</v>
      </c>
      <c r="X55" s="236">
        <f t="shared" ca="1" si="17"/>
        <v>-0.35</v>
      </c>
      <c r="Y55" s="234">
        <f t="shared" ca="1" si="17"/>
        <v>-0.35</v>
      </c>
      <c r="Z55" s="237">
        <f t="shared" ca="1" si="17"/>
        <v>0</v>
      </c>
      <c r="AA55" s="234">
        <f t="shared" ca="1" si="17"/>
        <v>0</v>
      </c>
      <c r="AB55" s="234">
        <f t="shared" ca="1" si="17"/>
        <v>-0.35</v>
      </c>
      <c r="AC55" s="234">
        <f t="shared" ca="1" si="17"/>
        <v>-0.35</v>
      </c>
      <c r="AD55" s="234">
        <f t="shared" ca="1" si="17"/>
        <v>-0.35</v>
      </c>
      <c r="AE55" s="236">
        <f t="shared" ca="1" si="17"/>
        <v>-0.35</v>
      </c>
      <c r="AF55" s="234">
        <f t="shared" ca="1" si="17"/>
        <v>-0.35</v>
      </c>
      <c r="AG55" s="205" t="str">
        <f t="shared" si="2"/>
        <v>+/- required/actual hours daily</v>
      </c>
      <c r="AH55" s="218"/>
      <c r="AI55" s="238">
        <f ca="1">SUM(B55:AF55)</f>
        <v>-7.349999999999997</v>
      </c>
      <c r="AJ55" s="214"/>
      <c r="AK55" s="209"/>
      <c r="AL55" s="245">
        <f ca="1">IF(EB.Anwendung&lt;&gt;"",IF(MONTH(Monat.Tag1)=1,0,IF(MONTH(Monat.Tag1)=2,January!Monat.Soll_Ist_UeVM,IF(MONTH(Monat.Tag1)=3,February!Monat.Soll_Ist_UeVM,IF(MONTH(Monat.Tag1)=4,March!Monat.Soll_Ist_UeVM,IF(MONTH(Monat.Tag1)=5,April!Monat.Soll_Ist_UeVM,IF(MONTH(Monat.Tag1)=6,May!Monat.Soll_Ist_UeVM,IF(MONTH(Monat.Tag1)=7,June!Monat.Soll_Ist_UeVM,IF(MONTH(Monat.Tag1)=8,July!Monat.Soll_Ist_UeVM,IF(MONTH(Monat.Tag1)=9,August!Monat.Soll_Ist_UeVM,IF(MONTH(Monat.Tag1)=10,September!Monat.Soll_Ist_UeVM,IF(MONTH(Monat.Tag1)=11,October!Monat.Soll_Ist_UeVM,IF(MONTH(Monat.Tag1)=12,November!Monat.Soll_Ist_UeVM,"")))))))))))),"")</f>
        <v>0</v>
      </c>
      <c r="AM55" s="209"/>
      <c r="AN55" s="246">
        <f ca="1">IF(AH57="+",(AI55+AI57),(AI55-AI57))</f>
        <v>-7.349999999999997</v>
      </c>
      <c r="AO55" s="246">
        <f ca="1">SUM(OFFSET(J.AZSaldo.Total,-12,0,MONTH(Monat.Tag1),1))</f>
        <v>-7.349999999999997</v>
      </c>
      <c r="AP55" s="246">
        <f ca="1">J.AZSaldo.Total</f>
        <v>-88.07499999999996</v>
      </c>
      <c r="AQ55" s="119"/>
    </row>
    <row r="56" spans="1:43" s="38" customFormat="1" ht="15" customHeight="1" x14ac:dyDescent="0.2">
      <c r="A56" s="244" t="s">
        <v>214</v>
      </c>
      <c r="B56" s="247">
        <f ca="1">IF(EB.Anwendung&lt;&gt;"",IF(DAY(B$10)=1,IF(MONTH(Monat.Tag1)=1,ROUND(EB.ÜVMMS*1440,0)/1440,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B$10&gt;TODAY(),EB.UJAustritt=""),0,B55),
IF(AND(B$10&gt;TODAY(),EB.UJAustritt=""),A56,A56+B55)),"")</f>
        <v>0</v>
      </c>
      <c r="C56" s="247">
        <f ca="1">IF(EB.Anwendung&lt;&gt;"",IF(DAY(C$10)=1,IF(MONTH(Monat.Tag1)=1,ROUND(EB.ÜVMMS*1440,0)/1440,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C$10&gt;TODAY(),EB.UJAustritt=""),0,C55),
IF(AND(C$10&gt;TODAY(),EB.UJAustritt=""),B56,B56+C55)),"")</f>
        <v>0</v>
      </c>
      <c r="D56" s="247">
        <f ca="1">IF(EB.Anwendung&lt;&gt;"",IF(DAY(D$10)=1,IF(MONTH(Monat.Tag1)=1,ROUND(EB.ÜVMMS*1440,0)/1440,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D$10&gt;TODAY(),EB.UJAustritt=""),0,D55),
IF(AND(D$10&gt;TODAY(),EB.UJAustritt=""),C56,C56+D55)),"")</f>
        <v>0</v>
      </c>
      <c r="E56" s="247">
        <f ca="1">IF(EB.Anwendung&lt;&gt;"",IF(DAY(E$10)=1,IF(MONTH(Monat.Tag1)=1,ROUND(EB.ÜVMMS*1440,0)/1440,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E$10&gt;TODAY(),EB.UJAustritt=""),0,E55),
IF(AND(E$10&gt;TODAY(),EB.UJAustritt=""),D56,D56+E55)),"")</f>
        <v>0</v>
      </c>
      <c r="F56" s="247">
        <f ca="1">IF(EB.Anwendung&lt;&gt;"",IF(DAY(F$10)=1,IF(MONTH(Monat.Tag1)=1,ROUND(EB.ÜVMMS*1440,0)/1440,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F$10&gt;TODAY(),EB.UJAustritt=""),0,F55),
IF(AND(F$10&gt;TODAY(),EB.UJAustritt=""),E56,E56+F55)),"")</f>
        <v>0</v>
      </c>
      <c r="G56" s="247">
        <f ca="1">IF(EB.Anwendung&lt;&gt;"",IF(DAY(G$10)=1,IF(MONTH(Monat.Tag1)=1,ROUND(EB.ÜVMMS*1440,0)/1440,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G$10&gt;TODAY(),EB.UJAustritt=""),0,G55),
IF(AND(G$10&gt;TODAY(),EB.UJAustritt=""),F56,F56+G55)),"")</f>
        <v>0</v>
      </c>
      <c r="H56" s="247">
        <f ca="1">IF(EB.Anwendung&lt;&gt;"",IF(DAY(H$10)=1,IF(MONTH(Monat.Tag1)=1,ROUND(EB.ÜVMMS*1440,0)/1440,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H$10&gt;TODAY(),EB.UJAustritt=""),0,H55),
IF(AND(H$10&gt;TODAY(),EB.UJAustritt=""),G56,G56+H55)),"")</f>
        <v>0</v>
      </c>
      <c r="I56" s="247">
        <f ca="1">IF(EB.Anwendung&lt;&gt;"",IF(DAY(I$10)=1,IF(MONTH(Monat.Tag1)=1,ROUND(EB.ÜVMMS*1440,0)/1440,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I$10&gt;TODAY(),EB.UJAustritt=""),0,I55),
IF(AND(I$10&gt;TODAY(),EB.UJAustritt=""),H56,H56+I55)),"")</f>
        <v>0</v>
      </c>
      <c r="J56" s="247">
        <f ca="1">IF(EB.Anwendung&lt;&gt;"",IF(DAY(J$10)=1,IF(MONTH(Monat.Tag1)=1,ROUND(EB.ÜVMMS*1440,0)/1440,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J$10&gt;TODAY(),EB.UJAustritt=""),0,J55),
IF(AND(J$10&gt;TODAY(),EB.UJAustritt=""),I56,I56+J55)),"")</f>
        <v>0</v>
      </c>
      <c r="K56" s="247">
        <f ca="1">IF(EB.Anwendung&lt;&gt;"",IF(DAY(K$10)=1,IF(MONTH(Monat.Tag1)=1,ROUND(EB.ÜVMMS*1440,0)/1440,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K$10&gt;TODAY(),EB.UJAustritt=""),0,K55),
IF(AND(K$10&gt;TODAY(),EB.UJAustritt=""),J56,J56+K55)),"")</f>
        <v>0</v>
      </c>
      <c r="L56" s="247">
        <f ca="1">IF(EB.Anwendung&lt;&gt;"",IF(DAY(L$10)=1,IF(MONTH(Monat.Tag1)=1,ROUND(EB.ÜVMMS*1440,0)/1440,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L$10&gt;TODAY(),EB.UJAustritt=""),0,L55),
IF(AND(L$10&gt;TODAY(),EB.UJAustritt=""),K56,K56+L55)),"")</f>
        <v>0</v>
      </c>
      <c r="M56" s="247">
        <f ca="1">IF(EB.Anwendung&lt;&gt;"",IF(DAY(M$10)=1,IF(MONTH(Monat.Tag1)=1,ROUND(EB.ÜVMMS*1440,0)/1440,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M$10&gt;TODAY(),EB.UJAustritt=""),0,M55),
IF(AND(M$10&gt;TODAY(),EB.UJAustritt=""),L56,L56+M55)),"")</f>
        <v>0</v>
      </c>
      <c r="N56" s="247">
        <f ca="1">IF(EB.Anwendung&lt;&gt;"",IF(DAY(N$10)=1,IF(MONTH(Monat.Tag1)=1,ROUND(EB.ÜVMMS*1440,0)/1440,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N$10&gt;TODAY(),EB.UJAustritt=""),0,N55),
IF(AND(N$10&gt;TODAY(),EB.UJAustritt=""),M56,M56+N55)),"")</f>
        <v>0</v>
      </c>
      <c r="O56" s="247">
        <f ca="1">IF(EB.Anwendung&lt;&gt;"",IF(DAY(O$10)=1,IF(MONTH(Monat.Tag1)=1,ROUND(EB.ÜVMMS*1440,0)/1440,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O$10&gt;TODAY(),EB.UJAustritt=""),0,O55),
IF(AND(O$10&gt;TODAY(),EB.UJAustritt=""),N56,N56+O55)),"")</f>
        <v>0</v>
      </c>
      <c r="P56" s="247">
        <f ca="1">IF(EB.Anwendung&lt;&gt;"",IF(DAY(P$10)=1,IF(MONTH(Monat.Tag1)=1,ROUND(EB.ÜVMMS*1440,0)/1440,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P$10&gt;TODAY(),EB.UJAustritt=""),0,P55),
IF(AND(P$10&gt;TODAY(),EB.UJAustritt=""),O56,O56+P55)),"")</f>
        <v>0</v>
      </c>
      <c r="Q56" s="247">
        <f ca="1">IF(EB.Anwendung&lt;&gt;"",IF(DAY(Q$10)=1,IF(MONTH(Monat.Tag1)=1,ROUND(EB.ÜVMMS*1440,0)/1440,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Q$10&gt;TODAY(),EB.UJAustritt=""),0,Q55),
IF(AND(Q$10&gt;TODAY(),EB.UJAustritt=""),P56,P56+Q55)),"")</f>
        <v>0</v>
      </c>
      <c r="R56" s="247">
        <f ca="1">IF(EB.Anwendung&lt;&gt;"",IF(DAY(R$10)=1,IF(MONTH(Monat.Tag1)=1,ROUND(EB.ÜVMMS*1440,0)/1440,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R$10&gt;TODAY(),EB.UJAustritt=""),0,R55),
IF(AND(R$10&gt;TODAY(),EB.UJAustritt=""),Q56,Q56+R55)),"")</f>
        <v>0</v>
      </c>
      <c r="S56" s="247">
        <f ca="1">IF(EB.Anwendung&lt;&gt;"",IF(DAY(S$10)=1,IF(MONTH(Monat.Tag1)=1,ROUND(EB.ÜVMMS*1440,0)/1440,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S$10&gt;TODAY(),EB.UJAustritt=""),0,S55),
IF(AND(S$10&gt;TODAY(),EB.UJAustritt=""),R56,R56+S55)),"")</f>
        <v>0</v>
      </c>
      <c r="T56" s="247">
        <f ca="1">IF(EB.Anwendung&lt;&gt;"",IF(DAY(T$10)=1,IF(MONTH(Monat.Tag1)=1,ROUND(EB.ÜVMMS*1440,0)/1440,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T$10&gt;TODAY(),EB.UJAustritt=""),0,T55),
IF(AND(T$10&gt;TODAY(),EB.UJAustritt=""),S56,S56+T55)),"")</f>
        <v>0</v>
      </c>
      <c r="U56" s="247">
        <f ca="1">IF(EB.Anwendung&lt;&gt;"",IF(DAY(U$10)=1,IF(MONTH(Monat.Tag1)=1,ROUND(EB.ÜVMMS*1440,0)/1440,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U$10&gt;TODAY(),EB.UJAustritt=""),0,U55),
IF(AND(U$10&gt;TODAY(),EB.UJAustritt=""),T56,T56+U55)),"")</f>
        <v>0</v>
      </c>
      <c r="V56" s="247">
        <f ca="1">IF(EB.Anwendung&lt;&gt;"",IF(DAY(V$10)=1,IF(MONTH(Monat.Tag1)=1,ROUND(EB.ÜVMMS*1440,0)/1440,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V$10&gt;TODAY(),EB.UJAustritt=""),0,V55),
IF(AND(V$10&gt;TODAY(),EB.UJAustritt=""),U56,U56+V55)),"")</f>
        <v>0</v>
      </c>
      <c r="W56" s="247">
        <f ca="1">IF(EB.Anwendung&lt;&gt;"",IF(DAY(W$10)=1,IF(MONTH(Monat.Tag1)=1,ROUND(EB.ÜVMMS*1440,0)/1440,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W$10&gt;TODAY(),EB.UJAustritt=""),0,W55),
IF(AND(W$10&gt;TODAY(),EB.UJAustritt=""),V56,V56+W55)),"")</f>
        <v>0</v>
      </c>
      <c r="X56" s="247">
        <f ca="1">IF(EB.Anwendung&lt;&gt;"",IF(DAY(X$10)=1,IF(MONTH(Monat.Tag1)=1,ROUND(EB.ÜVMMS*1440,0)/1440,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X$10&gt;TODAY(),EB.UJAustritt=""),0,X55),
IF(AND(X$10&gt;TODAY(),EB.UJAustritt=""),W56,W56+X55)),"")</f>
        <v>0</v>
      </c>
      <c r="Y56" s="247">
        <f ca="1">IF(EB.Anwendung&lt;&gt;"",IF(DAY(Y$10)=1,IF(MONTH(Monat.Tag1)=1,ROUND(EB.ÜVMMS*1440,0)/1440,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Y$10&gt;TODAY(),EB.UJAustritt=""),0,Y55),
IF(AND(Y$10&gt;TODAY(),EB.UJAustritt=""),X56,X56+Y55)),"")</f>
        <v>0</v>
      </c>
      <c r="Z56" s="247">
        <f ca="1">IF(EB.Anwendung&lt;&gt;"",IF(DAY(Z$10)=1,IF(MONTH(Monat.Tag1)=1,ROUND(EB.ÜVMMS*1440,0)/1440,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Z$10&gt;TODAY(),EB.UJAustritt=""),0,Z55),
IF(AND(Z$10&gt;TODAY(),EB.UJAustritt=""),Y56,Y56+Z55)),"")</f>
        <v>0</v>
      </c>
      <c r="AA56" s="247">
        <f ca="1">IF(EB.Anwendung&lt;&gt;"",IF(DAY(AA$10)=1,IF(MONTH(Monat.Tag1)=1,ROUND(EB.ÜVMMS*1440,0)/1440,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A$10&gt;TODAY(),EB.UJAustritt=""),0,AA55),
IF(AND(AA$10&gt;TODAY(),EB.UJAustritt=""),Z56,Z56+AA55)),"")</f>
        <v>0</v>
      </c>
      <c r="AB56" s="247">
        <f ca="1">IF(EB.Anwendung&lt;&gt;"",IF(DAY(AB$10)=1,IF(MONTH(Monat.Tag1)=1,ROUND(EB.ÜVMMS*1440,0)/1440,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B$10&gt;TODAY(),EB.UJAustritt=""),0,AB55),
IF(AND(AB$10&gt;TODAY(),EB.UJAustritt=""),AA56,AA56+AB55)),"")</f>
        <v>0</v>
      </c>
      <c r="AC56" s="247">
        <f ca="1">IF(EB.Anwendung&lt;&gt;"",IF(DAY(AC$10)=1,IF(MONTH(Monat.Tag1)=1,ROUND(EB.ÜVMMS*1440,0)/1440,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C$10&gt;TODAY(),EB.UJAustritt=""),0,AC55),
IF(AND(AC$10&gt;TODAY(),EB.UJAustritt=""),AB56,AB56+AC55)),"")</f>
        <v>0</v>
      </c>
      <c r="AD56" s="247">
        <f ca="1">IF(EB.Anwendung&lt;&gt;"",IF(DAY(AD$10)=1,IF(MONTH(Monat.Tag1)=1,ROUND(EB.ÜVMMS*1440,0)/1440,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D$10&gt;TODAY(),EB.UJAustritt=""),0,AD55),
IF(AND(AD$10&gt;TODAY(),EB.UJAustritt=""),AC56,AC56+AD55)),"")</f>
        <v>0</v>
      </c>
      <c r="AE56" s="247">
        <f ca="1">IF(EB.Anwendung&lt;&gt;"",IF(DAY(AE$10)=1,IF(MONTH(Monat.Tag1)=1,ROUND(EB.ÜVMMS*1440,0)/1440,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E$10&gt;TODAY(),EB.UJAustritt=""),0,AE55),
IF(AND(AE$10&gt;TODAY(),EB.UJAustritt=""),AD56,AD56+AE55)),"")</f>
        <v>0</v>
      </c>
      <c r="AF56" s="247">
        <f ca="1">IF(EB.Anwendung&lt;&gt;"",IF(DAY(AF$10)=1,IF(MONTH(Monat.Tag1)=1,ROUND(EB.ÜVMMS*1440,0)/1440,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F$10&gt;TODAY(),EB.UJAustritt=""),0,AF55),
IF(AND(AF$10&gt;TODAY(),EB.UJAustritt=""),AE56,AE56+AF55)),"")</f>
        <v>0</v>
      </c>
      <c r="AG56" s="205" t="str">
        <f t="shared" si="2"/>
        <v>current extra/minus hours</v>
      </c>
      <c r="AH56" s="218"/>
      <c r="AI56" s="238">
        <f ca="1">OFFSET(B56,0,DAY(EOMONTH(Monat.Tag1,0))-1,1,1)</f>
        <v>0</v>
      </c>
      <c r="AJ56" s="214"/>
      <c r="AK56" s="209"/>
      <c r="AL56" s="209"/>
      <c r="AM56" s="209"/>
      <c r="AN56" s="208"/>
      <c r="AO56" s="209"/>
      <c r="AP56" s="209"/>
      <c r="AQ56" s="119"/>
    </row>
    <row r="57" spans="1:43" s="42" customFormat="1" ht="15" customHeight="1" outlineLevel="1" x14ac:dyDescent="0.2">
      <c r="A57" s="248"/>
      <c r="B57" s="249"/>
      <c r="C57" s="249"/>
      <c r="D57" s="249"/>
      <c r="E57" s="191"/>
      <c r="F57" s="249"/>
      <c r="G57" s="249"/>
      <c r="H57" s="250"/>
      <c r="I57" s="249"/>
      <c r="J57" s="251"/>
      <c r="K57" s="249"/>
      <c r="L57" s="252"/>
      <c r="M57" s="249"/>
      <c r="N57" s="249"/>
      <c r="O57" s="250"/>
      <c r="P57" s="249"/>
      <c r="Q57" s="191"/>
      <c r="R57" s="249"/>
      <c r="S57" s="252"/>
      <c r="T57" s="249"/>
      <c r="U57" s="249"/>
      <c r="V57" s="250"/>
      <c r="W57" s="249"/>
      <c r="X57" s="253"/>
      <c r="Y57" s="249"/>
      <c r="Z57" s="191"/>
      <c r="AA57" s="249"/>
      <c r="AB57" s="249"/>
      <c r="AC57" s="250"/>
      <c r="AD57" s="249"/>
      <c r="AE57" s="191"/>
      <c r="AF57" s="254"/>
      <c r="AG57" s="212" t="s">
        <v>117</v>
      </c>
      <c r="AH57" s="43" t="s">
        <v>2</v>
      </c>
      <c r="AI57" s="73"/>
      <c r="AJ57" s="255"/>
      <c r="AK57" s="256"/>
      <c r="AL57" s="209"/>
      <c r="AM57" s="209"/>
      <c r="AN57" s="208"/>
      <c r="AO57" s="257"/>
      <c r="AP57" s="257"/>
      <c r="AQ57" s="163"/>
    </row>
    <row r="58" spans="1:43" s="44" customFormat="1" ht="15" customHeight="1" x14ac:dyDescent="0.2">
      <c r="A58" s="258"/>
      <c r="B58" s="252"/>
      <c r="C58" s="252"/>
      <c r="D58" s="252"/>
      <c r="E58" s="191"/>
      <c r="F58" s="252"/>
      <c r="G58" s="252"/>
      <c r="H58" s="252"/>
      <c r="I58" s="252"/>
      <c r="J58" s="191"/>
      <c r="K58" s="252"/>
      <c r="L58" s="252"/>
      <c r="M58" s="252"/>
      <c r="N58" s="252"/>
      <c r="O58" s="252"/>
      <c r="P58" s="252"/>
      <c r="Q58" s="191"/>
      <c r="R58" s="252"/>
      <c r="S58" s="252"/>
      <c r="T58" s="252"/>
      <c r="U58" s="252"/>
      <c r="V58" s="252"/>
      <c r="W58" s="252"/>
      <c r="X58" s="253"/>
      <c r="Y58" s="252"/>
      <c r="Z58" s="191"/>
      <c r="AA58" s="252"/>
      <c r="AB58" s="252"/>
      <c r="AC58" s="252"/>
      <c r="AD58" s="252"/>
      <c r="AE58" s="191"/>
      <c r="AF58" s="259"/>
      <c r="AG58" s="260" t="s">
        <v>78</v>
      </c>
      <c r="AH58" s="218"/>
      <c r="AI58" s="238">
        <f ca="1">IF(AH57="+",(Monat.ZUeZ.Total+AI57),(Monat.ZUeZ.Total-AI57))</f>
        <v>0</v>
      </c>
      <c r="AJ58" s="261"/>
      <c r="AK58" s="262"/>
      <c r="AL58" s="245">
        <f ca="1">IF(EB.Anwendung&lt;&gt;"",IF(MONTH(Monat.Tag1)=1,EB.MMS,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f>
        <v>0</v>
      </c>
      <c r="AM58" s="209"/>
      <c r="AN58" s="246">
        <f ca="1">AI58</f>
        <v>0</v>
      </c>
      <c r="AO58" s="209"/>
      <c r="AP58" s="209"/>
      <c r="AQ58" s="131"/>
    </row>
    <row r="59" spans="1:43" s="38" customFormat="1" ht="11.25" customHeight="1" x14ac:dyDescent="0.2">
      <c r="A59" s="220"/>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2"/>
      <c r="AG59" s="205"/>
      <c r="AH59" s="188"/>
      <c r="AI59" s="213"/>
      <c r="AJ59" s="214"/>
      <c r="AK59" s="209"/>
      <c r="AL59" s="209"/>
      <c r="AM59" s="209"/>
      <c r="AN59" s="208"/>
      <c r="AO59" s="209"/>
      <c r="AP59" s="209"/>
      <c r="AQ59" s="119"/>
    </row>
    <row r="60" spans="1:43" s="38" customFormat="1" ht="15" customHeight="1" x14ac:dyDescent="0.2">
      <c r="A60" s="212" t="s">
        <v>217</v>
      </c>
      <c r="B60" s="263" t="str">
        <f ca="1">IF(EB.Wochenarbeitszeit=50/24,IF(T.50_Vetsuisse,IF(WEEKDAY(B$10,2)=7,MAX(0,SUM(OFFSET(B51,0,-MIN(6,DAY(B$10)-1),1,MIN(7,DAY(B$10))))+IF(AND(MONTH(Monat.Tag1)&lt;&gt;1,DAY(B$10)&lt;7),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-1/24*50),""),""),IF(B45=0,"",B45))</f>
        <v/>
      </c>
      <c r="C60" s="263" t="str">
        <f ca="1">IF(EB.Wochenarbeitszeit=50/24,IF(T.50_Vetsuisse,IF(WEEKDAY(C$10,2)=7,MAX(0,SUM(OFFSET(C51,0,-MIN(6,DAY(C$10)-1),1,MIN(7,DAY(C$10))))+IF(AND(MONTH(Monat.Tag1)&lt;&gt;1,DAY(C$10)&lt;7),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-1/24*50),""),""),IF(C45=0,"",C45))</f>
        <v/>
      </c>
      <c r="D60" s="263" t="str">
        <f ca="1">IF(EB.Wochenarbeitszeit=50/24,IF(T.50_Vetsuisse,IF(WEEKDAY(D$10,2)=7,MAX(0,SUM(OFFSET(D51,0,-MIN(6,DAY(D$10)-1),1,MIN(7,DAY(D$10))))+IF(AND(MONTH(Monat.Tag1)&lt;&gt;1,DAY(D$10)&lt;7),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-1/24*50),""),""),IF(D45=0,"",D45))</f>
        <v/>
      </c>
      <c r="E60" s="264" t="str">
        <f ca="1">IF(EB.Wochenarbeitszeit=50/24,IF(T.50_Vetsuisse,IF(WEEKDAY(E$10,2)=7,MAX(0,SUM(OFFSET(E51,0,-MIN(6,DAY(E$10)-1),1,MIN(7,DAY(E$10))))+IF(AND(MONTH(Monat.Tag1)&lt;&gt;1,DAY(E$10)&lt;7),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-1/24*50),""),""),IF(E45=0,"",E45))</f>
        <v/>
      </c>
      <c r="F60" s="263" t="str">
        <f ca="1">IF(EB.Wochenarbeitszeit=50/24,IF(T.50_Vetsuisse,IF(WEEKDAY(F$10,2)=7,MAX(0,SUM(OFFSET(F51,0,-MIN(6,DAY(F$10)-1),1,MIN(7,DAY(F$10))))+IF(AND(MONTH(Monat.Tag1)&lt;&gt;1,DAY(F$10)&lt;7),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-1/24*50),""),""),IF(F45=0,"",F45))</f>
        <v/>
      </c>
      <c r="G60" s="263" t="str">
        <f ca="1">IF(EB.Wochenarbeitszeit=50/24,IF(T.50_Vetsuisse,IF(WEEKDAY(G$10,2)=7,MAX(0,SUM(OFFSET(G51,0,-MIN(6,DAY(G$10)-1),1,MIN(7,DAY(G$10))))+IF(AND(MONTH(Monat.Tag1)&lt;&gt;1,DAY(G$10)&lt;7),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-1/24*50),""),""),IF(G45=0,"",G45))</f>
        <v/>
      </c>
      <c r="H60" s="263" t="str">
        <f ca="1">IF(EB.Wochenarbeitszeit=50/24,IF(T.50_Vetsuisse,IF(WEEKDAY(H$10,2)=7,MAX(0,SUM(OFFSET(H51,0,-MIN(6,DAY(H$10)-1),1,MIN(7,DAY(H$10))))+IF(AND(MONTH(Monat.Tag1)&lt;&gt;1,DAY(H$10)&lt;7),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-1/24*50),""),""),IF(H45=0,"",H45))</f>
        <v/>
      </c>
      <c r="I60" s="263" t="str">
        <f ca="1">IF(EB.Wochenarbeitszeit=50/24,IF(T.50_Vetsuisse,IF(WEEKDAY(I$10,2)=7,MAX(0,SUM(OFFSET(I51,0,-MIN(6,DAY(I$10)-1),1,MIN(7,DAY(I$10))))+IF(AND(MONTH(Monat.Tag1)&lt;&gt;1,DAY(I$10)&lt;7),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-1/24*50),""),""),IF(I45=0,"",I45))</f>
        <v/>
      </c>
      <c r="J60" s="264" t="str">
        <f ca="1">IF(EB.Wochenarbeitszeit=50/24,IF(T.50_Vetsuisse,IF(WEEKDAY(J$10,2)=7,MAX(0,SUM(OFFSET(J51,0,-MIN(6,DAY(J$10)-1),1,MIN(7,DAY(J$10))))+IF(AND(MONTH(Monat.Tag1)&lt;&gt;1,DAY(J$10)&lt;7),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-1/24*50),""),""),IF(J45=0,"",J45))</f>
        <v/>
      </c>
      <c r="K60" s="263" t="str">
        <f ca="1">IF(EB.Wochenarbeitszeit=50/24,IF(T.50_Vetsuisse,IF(WEEKDAY(K$10,2)=7,MAX(0,SUM(OFFSET(K51,0,-MIN(6,DAY(K$10)-1),1,MIN(7,DAY(K$10))))+IF(AND(MONTH(Monat.Tag1)&lt;&gt;1,DAY(K$10)&lt;7),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-1/24*50),""),""),IF(K45=0,"",K45))</f>
        <v/>
      </c>
      <c r="L60" s="264" t="str">
        <f ca="1">IF(EB.Wochenarbeitszeit=50/24,IF(T.50_Vetsuisse,IF(WEEKDAY(L$10,2)=7,MAX(0,SUM(OFFSET(L51,0,-MIN(6,DAY(L$10)-1),1,MIN(7,DAY(L$10))))+IF(AND(MONTH(Monat.Tag1)&lt;&gt;1,DAY(L$10)&lt;7),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-1/24*50),""),""),IF(L45=0,"",L45))</f>
        <v/>
      </c>
      <c r="M60" s="263" t="str">
        <f ca="1">IF(EB.Wochenarbeitszeit=50/24,IF(T.50_Vetsuisse,IF(WEEKDAY(M$10,2)=7,MAX(0,SUM(OFFSET(M51,0,-MIN(6,DAY(M$10)-1),1,MIN(7,DAY(M$10))))+IF(AND(MONTH(Monat.Tag1)&lt;&gt;1,DAY(M$10)&lt;7),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-1/24*50),""),""),IF(M45=0,"",M45))</f>
        <v/>
      </c>
      <c r="N60" s="263" t="str">
        <f ca="1">IF(EB.Wochenarbeitszeit=50/24,IF(T.50_Vetsuisse,IF(WEEKDAY(N$10,2)=7,MAX(0,SUM(OFFSET(N51,0,-MIN(6,DAY(N$10)-1),1,MIN(7,DAY(N$10))))+IF(AND(MONTH(Monat.Tag1)&lt;&gt;1,DAY(N$10)&lt;7),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-1/24*50),""),""),IF(N45=0,"",N45))</f>
        <v/>
      </c>
      <c r="O60" s="263" t="str">
        <f ca="1">IF(EB.Wochenarbeitszeit=50/24,IF(T.50_Vetsuisse,IF(WEEKDAY(O$10,2)=7,MAX(0,SUM(OFFSET(O51,0,-MIN(6,DAY(O$10)-1),1,MIN(7,DAY(O$10))))+IF(AND(MONTH(Monat.Tag1)&lt;&gt;1,DAY(O$10)&lt;7),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-1/24*50),""),""),IF(O45=0,"",O45))</f>
        <v/>
      </c>
      <c r="P60" s="263" t="str">
        <f ca="1">IF(EB.Wochenarbeitszeit=50/24,IF(T.50_Vetsuisse,IF(WEEKDAY(P$10,2)=7,MAX(0,SUM(OFFSET(P51,0,-MIN(6,DAY(P$10)-1),1,MIN(7,DAY(P$10))))+IF(AND(MONTH(Monat.Tag1)&lt;&gt;1,DAY(P$10)&lt;7),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-1/24*50),""),""),IF(P45=0,"",P45))</f>
        <v/>
      </c>
      <c r="Q60" s="264" t="str">
        <f ca="1">IF(EB.Wochenarbeitszeit=50/24,IF(T.50_Vetsuisse,IF(WEEKDAY(Q$10,2)=7,MAX(0,SUM(OFFSET(Q51,0,-MIN(6,DAY(Q$10)-1),1,MIN(7,DAY(Q$10))))+IF(AND(MONTH(Monat.Tag1)&lt;&gt;1,DAY(Q$10)&lt;7),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-1/24*50),""),""),IF(Q45=0,"",Q45))</f>
        <v/>
      </c>
      <c r="R60" s="263" t="str">
        <f ca="1">IF(EB.Wochenarbeitszeit=50/24,IF(T.50_Vetsuisse,IF(WEEKDAY(R$10,2)=7,MAX(0,SUM(OFFSET(R51,0,-MIN(6,DAY(R$10)-1),1,MIN(7,DAY(R$10))))+IF(AND(MONTH(Monat.Tag1)&lt;&gt;1,DAY(R$10)&lt;7),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-1/24*50),""),""),IF(R45=0,"",R45))</f>
        <v/>
      </c>
      <c r="S60" s="264" t="str">
        <f ca="1">IF(EB.Wochenarbeitszeit=50/24,IF(T.50_Vetsuisse,IF(WEEKDAY(S$10,2)=7,MAX(0,SUM(OFFSET(S51,0,-MIN(6,DAY(S$10)-1),1,MIN(7,DAY(S$10))))+IF(AND(MONTH(Monat.Tag1)&lt;&gt;1,DAY(S$10)&lt;7),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-1/24*50),""),""),IF(S45=0,"",S45))</f>
        <v/>
      </c>
      <c r="T60" s="264" t="str">
        <f ca="1">IF(EB.Wochenarbeitszeit=50/24,IF(T.50_Vetsuisse,IF(WEEKDAY(T$10,2)=7,MAX(0,SUM(OFFSET(T51,0,-MIN(6,DAY(T$10)-1),1,MIN(7,DAY(T$10))))+IF(AND(MONTH(Monat.Tag1)&lt;&gt;1,DAY(T$10)&lt;7),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-1/24*50),""),""),IF(T45=0,"",T45))</f>
        <v/>
      </c>
      <c r="U60" s="263" t="str">
        <f ca="1">IF(EB.Wochenarbeitszeit=50/24,IF(T.50_Vetsuisse,IF(WEEKDAY(U$10,2)=7,MAX(0,SUM(OFFSET(U51,0,-MIN(6,DAY(U$10)-1),1,MIN(7,DAY(U$10))))+IF(AND(MONTH(Monat.Tag1)&lt;&gt;1,DAY(U$10)&lt;7),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-1/24*50),""),""),IF(U45=0,"",U45))</f>
        <v/>
      </c>
      <c r="V60" s="263" t="str">
        <f ca="1">IF(EB.Wochenarbeitszeit=50/24,IF(T.50_Vetsuisse,IF(WEEKDAY(V$10,2)=7,MAX(0,SUM(OFFSET(V51,0,-MIN(6,DAY(V$10)-1),1,MIN(7,DAY(V$10))))+IF(AND(MONTH(Monat.Tag1)&lt;&gt;1,DAY(V$10)&lt;7),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-1/24*50),""),""),IF(V45=0,"",V45))</f>
        <v/>
      </c>
      <c r="W60" s="263" t="str">
        <f ca="1">IF(EB.Wochenarbeitszeit=50/24,IF(T.50_Vetsuisse,IF(WEEKDAY(W$10,2)=7,MAX(0,SUM(OFFSET(W51,0,-MIN(6,DAY(W$10)-1),1,MIN(7,DAY(W$10))))+IF(AND(MONTH(Monat.Tag1)&lt;&gt;1,DAY(W$10)&lt;7),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-1/24*50),""),""),IF(W45=0,"",W45))</f>
        <v/>
      </c>
      <c r="X60" s="264" t="str">
        <f ca="1">IF(EB.Wochenarbeitszeit=50/24,IF(T.50_Vetsuisse,IF(WEEKDAY(X$10,2)=7,MAX(0,SUM(OFFSET(X51,0,-MIN(6,DAY(X$10)-1),1,MIN(7,DAY(X$10))))+IF(AND(MONTH(Monat.Tag1)&lt;&gt;1,DAY(X$10)&lt;7),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-1/24*50),""),""),IF(X45=0,"",X45))</f>
        <v/>
      </c>
      <c r="Y60" s="263" t="str">
        <f ca="1">IF(EB.Wochenarbeitszeit=50/24,IF(T.50_Vetsuisse,IF(WEEKDAY(Y$10,2)=7,MAX(0,SUM(OFFSET(Y51,0,-MIN(6,DAY(Y$10)-1),1,MIN(7,DAY(Y$10))))+IF(AND(MONTH(Monat.Tag1)&lt;&gt;1,DAY(Y$10)&lt;7),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-1/24*50),""),""),IF(Y45=0,"",Y45))</f>
        <v/>
      </c>
      <c r="Z60" s="265" t="str">
        <f ca="1">IF(EB.Wochenarbeitszeit=50/24,IF(T.50_Vetsuisse,IF(WEEKDAY(Z$10,2)=7,MAX(0,SUM(OFFSET(Z51,0,-MIN(6,DAY(Z$10)-1),1,MIN(7,DAY(Z$10))))+IF(AND(MONTH(Monat.Tag1)&lt;&gt;1,DAY(Z$10)&lt;7),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-1/24*50),""),""),IF(Z45=0,"",Z45))</f>
        <v/>
      </c>
      <c r="AA60" s="263" t="str">
        <f ca="1">IF(EB.Wochenarbeitszeit=50/24,IF(T.50_Vetsuisse,IF(WEEKDAY(AA$10,2)=7,MAX(0,SUM(OFFSET(AA51,0,-MIN(6,DAY(AA$10)-1),1,MIN(7,DAY(AA$10))))+IF(AND(MONTH(Monat.Tag1)&lt;&gt;1,DAY(AA$10)&lt;7),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-1/24*50),""),""),IF(AA45=0,"",AA45))</f>
        <v/>
      </c>
      <c r="AB60" s="263" t="str">
        <f ca="1">IF(EB.Wochenarbeitszeit=50/24,IF(T.50_Vetsuisse,IF(WEEKDAY(AB$10,2)=7,MAX(0,SUM(OFFSET(AB51,0,-MIN(6,DAY(AB$10)-1),1,MIN(7,DAY(AB$10))))+IF(AND(MONTH(Monat.Tag1)&lt;&gt;1,DAY(AB$10)&lt;7),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-1/24*50),""),""),IF(AB45=0,"",AB45))</f>
        <v/>
      </c>
      <c r="AC60" s="263" t="str">
        <f ca="1">IF(EB.Wochenarbeitszeit=50/24,IF(T.50_Vetsuisse,IF(WEEKDAY(AC$10,2)=7,MAX(0,SUM(OFFSET(AC51,0,-MIN(6,DAY(AC$10)-1),1,MIN(7,DAY(AC$10))))+IF(AND(MONTH(Monat.Tag1)&lt;&gt;1,DAY(AC$10)&lt;7),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-1/24*50),""),""),IF(AC45=0,"",AC45))</f>
        <v/>
      </c>
      <c r="AD60" s="263" t="str">
        <f ca="1">IF(EB.Wochenarbeitszeit=50/24,IF(T.50_Vetsuisse,IF(WEEKDAY(AD$10,2)=7,MAX(0,SUM(OFFSET(AD51,0,-MIN(6,DAY(AD$10)-1),1,MIN(7,DAY(AD$10))))+IF(AND(MONTH(Monat.Tag1)&lt;&gt;1,DAY(AD$10)&lt;7),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-1/24*50),""),""),IF(AD45=0,"",AD45))</f>
        <v/>
      </c>
      <c r="AE60" s="264" t="str">
        <f ca="1">IF(EB.Wochenarbeitszeit=50/24,IF(T.50_Vetsuisse,IF(WEEKDAY(AE$10,2)=7,MAX(0,SUM(OFFSET(AE51,0,-MIN(6,DAY(AE$10)-1),1,MIN(7,DAY(AE$10))))+IF(AND(MONTH(Monat.Tag1)&lt;&gt;1,DAY(AE$10)&lt;7),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-1/24*50),""),""),IF(AE45=0,"",AE45))</f>
        <v/>
      </c>
      <c r="AF60" s="263" t="str">
        <f ca="1">IF(EB.Wochenarbeitszeit=50/24,IF(T.50_Vetsuisse,IF(WEEKDAY(AF$10,2)=7,MAX(0,SUM(OFFSET(AF51,0,-MIN(6,DAY(AF$10)-1),1,MIN(7,DAY(AF$10))))+IF(AND(MONTH(Monat.Tag1)&lt;&gt;1,DAY(AF$10)&lt;7),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-1/24*50),""),""),IF(AF45=0,"",AF45))</f>
        <v/>
      </c>
      <c r="AG60" s="205" t="str">
        <f>A60</f>
        <v>Ordered overtime</v>
      </c>
      <c r="AH60" s="218"/>
      <c r="AI60" s="238">
        <f ca="1">SUM(B60:AF60)</f>
        <v>0</v>
      </c>
      <c r="AJ60" s="214"/>
      <c r="AK60" s="209"/>
      <c r="AL60" s="245">
        <f ca="1">IF(EB.Anwendung&lt;&gt;"",IF(MONTH(Monat.Tag1)=1,0,IF(MONTH(Monat.Tag1)=2,January!Monat.AnUeZUeVM,IF(MONTH(Monat.Tag1)=3,February!Monat.AnUeZUeVM,IF(MONTH(Monat.Tag1)=4,March!Monat.AnUeZUeVM,IF(MONTH(Monat.Tag1)=5,April!Monat.AnUeZUeVM,IF(MONTH(Monat.Tag1)=6,May!Monat.AnUeZUeVM,IF(MONTH(Monat.Tag1)=7,June!Monat.AnUeZUeVM,IF(MONTH(Monat.Tag1)=8,July!Monat.AnUeZUeVM,IF(MONTH(Monat.Tag1)=9,August!Monat.AnUeZUeVM,IF(MONTH(Monat.Tag1)=10,September!Monat.AnUeZUeVM,IF(MONTH(Monat.Tag1)=11,October!Monat.AnUeZUeVM,IF(MONTH(Monat.Tag1)=12,November!Monat.AnUeZUeVM,"")))))))))))),"")</f>
        <v>0</v>
      </c>
      <c r="AM60" s="209"/>
      <c r="AN60" s="246">
        <f ca="1">AI60+AL60</f>
        <v>0</v>
      </c>
      <c r="AO60" s="246">
        <f ca="1">SUM(OFFSET(Jahr.AngÜZ,-12,0,MONTH(Monat.Tag1),1))</f>
        <v>0</v>
      </c>
      <c r="AP60" s="246">
        <f ca="1">Jahr.AngÜZ</f>
        <v>0</v>
      </c>
      <c r="AQ60" s="119"/>
    </row>
    <row r="61" spans="1:43" s="38" customFormat="1" ht="15" customHeight="1" x14ac:dyDescent="0.2">
      <c r="A61" s="212" t="s">
        <v>218</v>
      </c>
      <c r="B61" s="27"/>
      <c r="C61" s="27"/>
      <c r="D61" s="27"/>
      <c r="E61" s="27"/>
      <c r="F61" s="27"/>
      <c r="G61" s="27"/>
      <c r="H61" s="27"/>
      <c r="I61" s="27"/>
      <c r="J61" s="27"/>
      <c r="K61" s="27"/>
      <c r="L61" s="27"/>
      <c r="M61" s="27"/>
      <c r="N61" s="27"/>
      <c r="O61" s="27"/>
      <c r="P61" s="27"/>
      <c r="Q61" s="27"/>
      <c r="R61" s="27"/>
      <c r="S61" s="27"/>
      <c r="T61" s="27"/>
      <c r="U61" s="27"/>
      <c r="V61" s="27"/>
      <c r="W61" s="27"/>
      <c r="X61" s="27"/>
      <c r="Y61" s="27"/>
      <c r="Z61" s="39"/>
      <c r="AA61" s="27"/>
      <c r="AB61" s="27"/>
      <c r="AC61" s="27"/>
      <c r="AD61" s="27"/>
      <c r="AE61" s="27"/>
      <c r="AF61" s="27"/>
      <c r="AG61" s="205" t="str">
        <f>A61</f>
        <v>Compensation overtime</v>
      </c>
      <c r="AH61" s="218"/>
      <c r="AI61" s="238">
        <f>SUM(B61:AF61)</f>
        <v>0</v>
      </c>
      <c r="AJ61" s="214"/>
      <c r="AK61" s="209"/>
      <c r="AL61" s="209"/>
      <c r="AM61" s="209"/>
      <c r="AN61" s="208"/>
      <c r="AO61" s="209"/>
      <c r="AP61" s="209"/>
      <c r="AQ61" s="119"/>
    </row>
    <row r="62" spans="1:43" s="42" customFormat="1" ht="15" hidden="1" customHeight="1" outlineLevel="1" x14ac:dyDescent="0.2">
      <c r="A62" s="248"/>
      <c r="B62" s="253"/>
      <c r="C62" s="253"/>
      <c r="D62" s="253"/>
      <c r="E62" s="191"/>
      <c r="F62" s="253"/>
      <c r="G62" s="253"/>
      <c r="H62" s="253"/>
      <c r="I62" s="253"/>
      <c r="J62" s="251"/>
      <c r="K62" s="253"/>
      <c r="L62" s="252"/>
      <c r="M62" s="253"/>
      <c r="N62" s="253"/>
      <c r="O62" s="253"/>
      <c r="P62" s="253"/>
      <c r="Q62" s="191"/>
      <c r="R62" s="253"/>
      <c r="S62" s="252"/>
      <c r="T62" s="253"/>
      <c r="U62" s="253"/>
      <c r="V62" s="253"/>
      <c r="W62" s="253"/>
      <c r="X62" s="253"/>
      <c r="Y62" s="253"/>
      <c r="Z62" s="191"/>
      <c r="AA62" s="253"/>
      <c r="AB62" s="253"/>
      <c r="AC62" s="253"/>
      <c r="AD62" s="253"/>
      <c r="AE62" s="191"/>
      <c r="AF62" s="266"/>
      <c r="AG62" s="267" t="s">
        <v>118</v>
      </c>
      <c r="AH62" s="268"/>
      <c r="AI62" s="238">
        <f ca="1">Monat.AnUeZ.Total-Monat.KomUeZ.Total</f>
        <v>0</v>
      </c>
      <c r="AJ62" s="214"/>
      <c r="AK62" s="257"/>
      <c r="AL62" s="257"/>
      <c r="AM62" s="209"/>
      <c r="AN62" s="257"/>
      <c r="AO62" s="257"/>
      <c r="AP62" s="257"/>
      <c r="AQ62" s="163"/>
    </row>
    <row r="63" spans="1:43" s="38" customFormat="1" ht="15" customHeight="1" collapsed="1" x14ac:dyDescent="0.2">
      <c r="A63" s="220"/>
      <c r="B63" s="191"/>
      <c r="C63" s="191"/>
      <c r="D63" s="191"/>
      <c r="E63" s="191"/>
      <c r="F63" s="191"/>
      <c r="G63" s="191"/>
      <c r="H63" s="191"/>
      <c r="I63" s="191"/>
      <c r="J63" s="191"/>
      <c r="K63" s="191"/>
      <c r="L63" s="252"/>
      <c r="M63" s="191"/>
      <c r="N63" s="191"/>
      <c r="O63" s="191"/>
      <c r="P63" s="191"/>
      <c r="Q63" s="191"/>
      <c r="R63" s="191"/>
      <c r="S63" s="252"/>
      <c r="T63" s="191"/>
      <c r="U63" s="191"/>
      <c r="V63" s="191"/>
      <c r="W63" s="191"/>
      <c r="X63" s="253"/>
      <c r="Y63" s="191"/>
      <c r="Z63" s="191"/>
      <c r="AA63" s="191"/>
      <c r="AB63" s="191"/>
      <c r="AC63" s="191"/>
      <c r="AD63" s="191"/>
      <c r="AE63" s="191"/>
      <c r="AF63" s="269"/>
      <c r="AG63" s="212" t="s">
        <v>215</v>
      </c>
      <c r="AH63" s="218"/>
      <c r="AI63" s="238">
        <f ca="1">IF(T.50_Vetsuisse,0,IF(AND(AI62&gt;0,Monat.ÜZZSBerechtigt=INDEX(T.JaNein.Bereich,1,1)),ROUND(AI62*0.25*1440,0)/1440,0))</f>
        <v>0</v>
      </c>
      <c r="AJ63" s="214"/>
      <c r="AK63" s="209"/>
      <c r="AL63" s="257"/>
      <c r="AM63" s="209"/>
      <c r="AN63" s="257"/>
      <c r="AO63" s="257"/>
      <c r="AP63" s="257"/>
      <c r="AQ63" s="119"/>
    </row>
    <row r="64" spans="1:43" s="38" customFormat="1" ht="15" hidden="1" customHeight="1" outlineLevel="1" x14ac:dyDescent="0.2">
      <c r="A64" s="220"/>
      <c r="B64" s="191"/>
      <c r="C64" s="191"/>
      <c r="D64" s="191"/>
      <c r="E64" s="191"/>
      <c r="F64" s="191"/>
      <c r="G64" s="191"/>
      <c r="H64" s="191"/>
      <c r="I64" s="191"/>
      <c r="J64" s="191"/>
      <c r="K64" s="191"/>
      <c r="L64" s="252"/>
      <c r="M64" s="191"/>
      <c r="N64" s="191"/>
      <c r="O64" s="191"/>
      <c r="P64" s="191"/>
      <c r="Q64" s="191"/>
      <c r="R64" s="191"/>
      <c r="S64" s="252"/>
      <c r="T64" s="191"/>
      <c r="U64" s="191"/>
      <c r="V64" s="191"/>
      <c r="W64" s="191"/>
      <c r="X64" s="253"/>
      <c r="Y64" s="191"/>
      <c r="Z64" s="191"/>
      <c r="AA64" s="191"/>
      <c r="AB64" s="191"/>
      <c r="AC64" s="191"/>
      <c r="AD64" s="191"/>
      <c r="AE64" s="191"/>
      <c r="AF64" s="269"/>
      <c r="AG64" s="212" t="s">
        <v>119</v>
      </c>
      <c r="AH64" s="45" t="s">
        <v>2</v>
      </c>
      <c r="AI64" s="46"/>
      <c r="AJ64" s="270"/>
      <c r="AK64" s="209"/>
      <c r="AL64" s="257"/>
      <c r="AM64" s="209"/>
      <c r="AN64" s="257"/>
      <c r="AO64" s="257"/>
      <c r="AP64" s="257"/>
      <c r="AQ64" s="119"/>
    </row>
    <row r="65" spans="1:43" s="42" customFormat="1" ht="15" customHeight="1" collapsed="1" x14ac:dyDescent="0.2">
      <c r="A65" s="248"/>
      <c r="B65" s="253"/>
      <c r="C65" s="253"/>
      <c r="D65" s="253"/>
      <c r="E65" s="191"/>
      <c r="F65" s="253"/>
      <c r="G65" s="253"/>
      <c r="H65" s="253"/>
      <c r="I65" s="253"/>
      <c r="J65" s="191"/>
      <c r="K65" s="253"/>
      <c r="L65" s="252"/>
      <c r="M65" s="253"/>
      <c r="N65" s="253"/>
      <c r="O65" s="253"/>
      <c r="P65" s="253"/>
      <c r="Q65" s="191"/>
      <c r="R65" s="253"/>
      <c r="S65" s="252"/>
      <c r="T65" s="253"/>
      <c r="U65" s="253"/>
      <c r="V65" s="253"/>
      <c r="W65" s="253"/>
      <c r="X65" s="253"/>
      <c r="Y65" s="253"/>
      <c r="Z65" s="191"/>
      <c r="AA65" s="253"/>
      <c r="AB65" s="253"/>
      <c r="AC65" s="253"/>
      <c r="AD65" s="253"/>
      <c r="AE65" s="191"/>
      <c r="AF65" s="266"/>
      <c r="AG65" s="260" t="s">
        <v>219</v>
      </c>
      <c r="AH65" s="268"/>
      <c r="AI65" s="238">
        <f ca="1">IF(AH64="+",(AI62+AI63+AI64),(AI62+AI63-AI64))</f>
        <v>0</v>
      </c>
      <c r="AJ65" s="261"/>
      <c r="AK65" s="271"/>
      <c r="AL65" s="245">
        <f ca="1">IF(EB.Anwendung&lt;&gt;"",IF(MONTH(Monat.Tag1)=1,EB.UeZ,IF(MONTH(Monat.Tag1)=2,January!Monat.UeZUeVM,IF(MONTH(Monat.Tag1)=3,February!Monat.UeZUeVM,IF(MONTH(Monat.Tag1)=4,March!Monat.UeZUeVM,IF(MONTH(Monat.Tag1)=5,April!Monat.UeZUeVM,IF(MONTH(Monat.Tag1)=6,May!Monat.UeZUeVM,IF(MONTH(Monat.Tag1)=7,June!Monat.UeZUeVM,IF(MONTH(Monat.Tag1)=8,July!Monat.UeZUeVM,IF(MONTH(Monat.Tag1)=9,August!Monat.UeZUeVM,IF(MONTH(Monat.Tag1)=10,September!Monat.UeZUeVM,IF(MONTH(Monat.Tag1)=11,October!Monat.UeZUeVM,IF(MONTH(Monat.Tag1)=12,November!Monat.UeZUeVM,"")))))))))))),"")</f>
        <v>0</v>
      </c>
      <c r="AM65" s="209"/>
      <c r="AN65" s="246">
        <f ca="1">AI65+AL65</f>
        <v>0</v>
      </c>
      <c r="AO65" s="246">
        <f ca="1">SUM(OFFSET(J.UeZ.Total,-12,0,MONTH(Monat.Tag1),1))</f>
        <v>0</v>
      </c>
      <c r="AP65" s="246">
        <f ca="1">J.UeZ.Total</f>
        <v>0</v>
      </c>
      <c r="AQ65" s="163"/>
    </row>
    <row r="66" spans="1:43" s="38" customFormat="1" ht="11.25" customHeight="1" outlineLevel="1" x14ac:dyDescent="0.2">
      <c r="A66" s="220"/>
      <c r="B66" s="354">
        <f ca="1">IF(EB.Anwendung&lt;&gt;"",
IF(AND(B$10&gt;TODAY(),$W$7&gt;0,B52&lt;=0),0,
IF(AND(B$10&gt;TODAY(),$W$7&lt;=0,B53&lt;=0),0,
IF(B85&lt;=0,1,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f>
        <v>0</v>
      </c>
      <c r="C66" s="354">
        <f ca="1">IF(EB.Anwendung&lt;&gt;"",
IF(AND(C$10&gt;TODAY(),$W$7&gt;0,C52&lt;=0),0,
IF(AND(C$10&gt;TODAY(),$W$7&lt;=0,C53&lt;=0),0,
IF(C85&lt;=0,1,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f>
        <v>0</v>
      </c>
      <c r="D66" s="354">
        <f ca="1">IF(EB.Anwendung&lt;&gt;"",
IF(AND(D$10&gt;TODAY(),$W$7&gt;0,D52&lt;=0),0,
IF(AND(D$10&gt;TODAY(),$W$7&lt;=0,D53&lt;=0),0,
IF(D85&lt;=0,1,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f>
        <v>1</v>
      </c>
      <c r="E66" s="354">
        <f ca="1">IF(EB.Anwendung&lt;&gt;"",
IF(AND(E$10&gt;TODAY(),$W$7&gt;0,E52&lt;=0),0,
IF(AND(E$10&gt;TODAY(),$W$7&lt;=0,E53&lt;=0),0,
IF(E85&lt;=0,1,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f>
        <v>0</v>
      </c>
      <c r="F66" s="354">
        <f ca="1">IF(EB.Anwendung&lt;&gt;"",
IF(AND(F$10&gt;TODAY(),$W$7&gt;0,F52&lt;=0),0,
IF(AND(F$10&gt;TODAY(),$W$7&lt;=0,F53&lt;=0),0,
IF(F85&lt;=0,1,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f>
        <v>0</v>
      </c>
      <c r="G66" s="354">
        <f ca="1">IF(EB.Anwendung&lt;&gt;"",
IF(AND(G$10&gt;TODAY(),$W$7&gt;0,G52&lt;=0),0,
IF(AND(G$10&gt;TODAY(),$W$7&lt;=0,G53&lt;=0),0,
IF(G85&lt;=0,1,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f>
        <v>1</v>
      </c>
      <c r="H66" s="354">
        <f ca="1">IF(EB.Anwendung&lt;&gt;"",
IF(AND(H$10&gt;TODAY(),$W$7&gt;0,H52&lt;=0),0,
IF(AND(H$10&gt;TODAY(),$W$7&lt;=0,H53&lt;=0),0,
IF(H85&lt;=0,1,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f>
        <v>1</v>
      </c>
      <c r="I66" s="354">
        <f ca="1">IF(EB.Anwendung&lt;&gt;"",
IF(AND(I$10&gt;TODAY(),$W$7&gt;0,I52&lt;=0),0,
IF(AND(I$10&gt;TODAY(),$W$7&lt;=0,I53&lt;=0),0,
IF(I85&lt;=0,1,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f>
        <v>1</v>
      </c>
      <c r="J66" s="354">
        <f ca="1">IF(EB.Anwendung&lt;&gt;"",
IF(AND(J$10&gt;TODAY(),$W$7&gt;0,J52&lt;=0),0,
IF(AND(J$10&gt;TODAY(),$W$7&lt;=0,J53&lt;=0),0,
IF(J85&lt;=0,1,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f>
        <v>1</v>
      </c>
      <c r="K66" s="354">
        <f ca="1">IF(EB.Anwendung&lt;&gt;"",
IF(AND(K$10&gt;TODAY(),$W$7&gt;0,K52&lt;=0),0,
IF(AND(K$10&gt;TODAY(),$W$7&lt;=0,K53&lt;=0),0,
IF(K85&lt;=0,1,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f>
        <v>1</v>
      </c>
      <c r="L66" s="431">
        <f ca="1">IF(EB.Anwendung&lt;&gt;"",
IF(AND(L$10&gt;TODAY(),$W$7&gt;0,L52&lt;=0),0,
IF(AND(L$10&gt;TODAY(),$W$7&lt;=0,L53&lt;=0),0,
IF(L85&lt;=0,1,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f>
        <v>0</v>
      </c>
      <c r="M66" s="354">
        <f ca="1">IF(EB.Anwendung&lt;&gt;"",
IF(AND(M$10&gt;TODAY(),$W$7&gt;0,M52&lt;=0),0,
IF(AND(M$10&gt;TODAY(),$W$7&lt;=0,M53&lt;=0),0,
IF(M85&lt;=0,1,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f>
        <v>0</v>
      </c>
      <c r="N66" s="354">
        <f ca="1">IF(EB.Anwendung&lt;&gt;"",
IF(AND(N$10&gt;TODAY(),$W$7&gt;0,N52&lt;=0),0,
IF(AND(N$10&gt;TODAY(),$W$7&lt;=0,N53&lt;=0),0,
IF(N85&lt;=0,1,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f>
        <v>1</v>
      </c>
      <c r="O66" s="354">
        <f ca="1">IF(EB.Anwendung&lt;&gt;"",
IF(AND(O$10&gt;TODAY(),$W$7&gt;0,O52&lt;=0),0,
IF(AND(O$10&gt;TODAY(),$W$7&lt;=0,O53&lt;=0),0,
IF(O85&lt;=0,1,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f>
        <v>1</v>
      </c>
      <c r="P66" s="354">
        <f ca="1">IF(EB.Anwendung&lt;&gt;"",
IF(AND(P$10&gt;TODAY(),$W$7&gt;0,P52&lt;=0),0,
IF(AND(P$10&gt;TODAY(),$W$7&lt;=0,P53&lt;=0),0,
IF(P85&lt;=0,1,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f>
        <v>1</v>
      </c>
      <c r="Q66" s="354">
        <f ca="1">IF(EB.Anwendung&lt;&gt;"",
IF(AND(Q$10&gt;TODAY(),$W$7&gt;0,Q52&lt;=0),0,
IF(AND(Q$10&gt;TODAY(),$W$7&lt;=0,Q53&lt;=0),0,
IF(Q85&lt;=0,1,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f>
        <v>1</v>
      </c>
      <c r="R66" s="354">
        <f ca="1">IF(EB.Anwendung&lt;&gt;"",
IF(AND(R$10&gt;TODAY(),$W$7&gt;0,R52&lt;=0),0,
IF(AND(R$10&gt;TODAY(),$W$7&lt;=0,R53&lt;=0),0,
IF(R85&lt;=0,1,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f>
        <v>1</v>
      </c>
      <c r="S66" s="431">
        <f ca="1">IF(EB.Anwendung&lt;&gt;"",
IF(AND(S$10&gt;TODAY(),$W$7&gt;0,S52&lt;=0),0,
IF(AND(S$10&gt;TODAY(),$W$7&lt;=0,S53&lt;=0),0,
IF(S85&lt;=0,1,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f>
        <v>0</v>
      </c>
      <c r="T66" s="354">
        <f ca="1">IF(EB.Anwendung&lt;&gt;"",
IF(AND(T$10&gt;TODAY(),$W$7&gt;0,T52&lt;=0),0,
IF(AND(T$10&gt;TODAY(),$W$7&lt;=0,T53&lt;=0),0,
IF(T85&lt;=0,1,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f>
        <v>0</v>
      </c>
      <c r="U66" s="354">
        <f ca="1">IF(EB.Anwendung&lt;&gt;"",
IF(AND(U$10&gt;TODAY(),$W$7&gt;0,U52&lt;=0),0,
IF(AND(U$10&gt;TODAY(),$W$7&lt;=0,U53&lt;=0),0,
IF(U85&lt;=0,1,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f>
        <v>1</v>
      </c>
      <c r="V66" s="354">
        <f ca="1">IF(EB.Anwendung&lt;&gt;"",
IF(AND(V$10&gt;TODAY(),$W$7&gt;0,V52&lt;=0),0,
IF(AND(V$10&gt;TODAY(),$W$7&lt;=0,V53&lt;=0),0,
IF(V85&lt;=0,1,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f>
        <v>1</v>
      </c>
      <c r="W66" s="354">
        <f ca="1">IF(EB.Anwendung&lt;&gt;"",
IF(AND(W$10&gt;TODAY(),$W$7&gt;0,W52&lt;=0),0,
IF(AND(W$10&gt;TODAY(),$W$7&lt;=0,W53&lt;=0),0,
IF(W85&lt;=0,1,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f>
        <v>1</v>
      </c>
      <c r="X66" s="432">
        <f ca="1">IF(EB.Anwendung&lt;&gt;"",
IF(AND(X$10&gt;TODAY(),$W$7&gt;0,X52&lt;=0),0,
IF(AND(X$10&gt;TODAY(),$W$7&lt;=0,X53&lt;=0),0,
IF(X85&lt;=0,1,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f>
        <v>1</v>
      </c>
      <c r="Y66" s="354">
        <f ca="1">IF(EB.Anwendung&lt;&gt;"",
IF(AND(Y$10&gt;TODAY(),$W$7&gt;0,Y52&lt;=0),0,
IF(AND(Y$10&gt;TODAY(),$W$7&lt;=0,Y53&lt;=0),0,
IF(Y85&lt;=0,1,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f>
        <v>1</v>
      </c>
      <c r="Z66" s="354">
        <f ca="1">IF(EB.Anwendung&lt;&gt;"",
IF(AND(Z$10&gt;TODAY(),$W$7&gt;0,Z52&lt;=0),0,
IF(AND(Z$10&gt;TODAY(),$W$7&lt;=0,Z53&lt;=0),0,
IF(Z85&lt;=0,1,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f>
        <v>0</v>
      </c>
      <c r="AA66" s="354">
        <f ca="1">IF(EB.Anwendung&lt;&gt;"",
IF(AND(AA$10&gt;TODAY(),$W$7&gt;0,AA52&lt;=0),0,
IF(AND(AA$10&gt;TODAY(),$W$7&lt;=0,AA53&lt;=0),0,
IF(AA85&lt;=0,1,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f>
        <v>0</v>
      </c>
      <c r="AB66" s="354">
        <f ca="1">IF(EB.Anwendung&lt;&gt;"",
IF(AND(AB$10&gt;TODAY(),$W$7&gt;0,AB52&lt;=0),0,
IF(AND(AB$10&gt;TODAY(),$W$7&lt;=0,AB53&lt;=0),0,
IF(AB85&lt;=0,1,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f>
        <v>1</v>
      </c>
      <c r="AC66" s="354">
        <f ca="1">IF(EB.Anwendung&lt;&gt;"",
IF(AND(AC$10&gt;TODAY(),$W$7&gt;0,AC52&lt;=0),0,
IF(AND(AC$10&gt;TODAY(),$W$7&lt;=0,AC53&lt;=0),0,
IF(AC85&lt;=0,1,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f>
        <v>1</v>
      </c>
      <c r="AD66" s="354">
        <f ca="1">IF(EB.Anwendung&lt;&gt;"",
IF(AND(AD$10&gt;TODAY(),$W$7&gt;0,AD52&lt;=0),0,
IF(AND(AD$10&gt;TODAY(),$W$7&lt;=0,AD53&lt;=0),0,
IF(AD85&lt;=0,1,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f>
        <v>1</v>
      </c>
      <c r="AE66" s="354">
        <f ca="1">IF(EB.Anwendung&lt;&gt;"",
IF(AND(AE$10&gt;TODAY(),$W$7&gt;0,AE52&lt;=0),0,
IF(AND(AE$10&gt;TODAY(),$W$7&lt;=0,AE53&lt;=0),0,
IF(AE85&lt;=0,1,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f>
        <v>1</v>
      </c>
      <c r="AF66" s="433">
        <f ca="1">IF(EB.Anwendung&lt;&gt;"",
IF(AND(AF$10&gt;TODAY(),$W$7&gt;0,AF52&lt;=0),0,
IF(AND(AF$10&gt;TODAY(),$W$7&lt;=0,AF53&lt;=0),0,
IF(AF85&lt;=0,1,
IF(DAY(AF$10)=1,IF(MONTH(Monat.Tag1)=1,1,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E68)))),"")</f>
        <v>1</v>
      </c>
      <c r="AG66" s="212"/>
      <c r="AH66" s="188"/>
      <c r="AI66" s="213"/>
      <c r="AJ66" s="214"/>
      <c r="AK66" s="209"/>
      <c r="AL66" s="209"/>
      <c r="AM66" s="209"/>
      <c r="AN66" s="208"/>
      <c r="AO66" s="209"/>
      <c r="AP66" s="209"/>
      <c r="AQ66" s="119"/>
    </row>
    <row r="67" spans="1:43" s="38" customFormat="1" ht="15" customHeight="1" outlineLevel="1" x14ac:dyDescent="0.2">
      <c r="A67" s="212" t="s">
        <v>79</v>
      </c>
      <c r="B67" s="27"/>
      <c r="C67" s="27"/>
      <c r="D67" s="27"/>
      <c r="E67" s="27"/>
      <c r="F67" s="27"/>
      <c r="G67" s="27"/>
      <c r="H67" s="27"/>
      <c r="I67" s="27"/>
      <c r="J67" s="27"/>
      <c r="K67" s="27"/>
      <c r="L67" s="27"/>
      <c r="M67" s="27"/>
      <c r="N67" s="27"/>
      <c r="O67" s="27"/>
      <c r="P67" s="27"/>
      <c r="Q67" s="27"/>
      <c r="R67" s="27"/>
      <c r="S67" s="27"/>
      <c r="T67" s="27"/>
      <c r="U67" s="27"/>
      <c r="V67" s="27"/>
      <c r="W67" s="27"/>
      <c r="X67" s="27"/>
      <c r="Y67" s="27"/>
      <c r="Z67" s="39"/>
      <c r="AA67" s="27"/>
      <c r="AB67" s="27"/>
      <c r="AC67" s="27"/>
      <c r="AD67" s="27"/>
      <c r="AE67" s="27"/>
      <c r="AF67" s="27"/>
      <c r="AG67" s="205" t="str">
        <f ca="1">A67 &amp; IFERROR(IF(SUMPRODUCT((B66:AF66=0)*(B67:AF67&gt;0))&gt;0," (!)",""),"")</f>
        <v>Compensation working hours</v>
      </c>
      <c r="AH67" s="218"/>
      <c r="AI67" s="238">
        <f>SUM(B67:AF67)</f>
        <v>0</v>
      </c>
      <c r="AJ67" s="261"/>
      <c r="AK67" s="245">
        <f ca="1">OFFSET(EB.MKAStd.Knoten,MONTH(Monat.Tag1),0,1,1)</f>
        <v>0.4375</v>
      </c>
      <c r="AL67" s="272">
        <f ca="1">IF(EB.Anwendung&lt;&gt;"",IF(MONTH(Monat.Tag1)=1,0,IF(MONTH(Monat.Tag1)=2,January!Monat.KomUeVM,IF(MONTH(Monat.Tag1)=3,February!Monat.KomUeVM,IF(MONTH(Monat.Tag1)=4,March!Monat.KomUeVM,IF(MONTH(Monat.Tag1)=5,April!Monat.KomUeVM,IF(MONTH(Monat.Tag1)=6,May!Monat.KomUeVM,IF(MONTH(Monat.Tag1)=7,June!Monat.KomUeVM,IF(MONTH(Monat.Tag1)=8,July!Monat.KomUeVM,IF(MONTH(Monat.Tag1)=9,August!Monat.KomUeVM,IF(MONTH(Monat.Tag1)=10,September!Monat.KomUeVM,IF(MONTH(Monat.Tag1)=11,October!Monat.KomUeVM,IF(MONTH(Monat.Tag1)=12,November!Monat.KomUeVM,"")))))))))))),"")</f>
        <v>0</v>
      </c>
      <c r="AM67" s="209"/>
      <c r="AN67" s="246">
        <f ca="1">AK67+AL67-Monat.KomAZ.Total</f>
        <v>0.4375</v>
      </c>
      <c r="AO67" s="246">
        <f ca="1">Jahresabrechnung!P12-SUM(OFFSET(Jahresabrechnung!P15,0,0,MONTH(Monat.Tag1),1))</f>
        <v>5.25</v>
      </c>
      <c r="AP67" s="246">
        <f ca="1">Jahresabrechnung!P28</f>
        <v>5.25</v>
      </c>
      <c r="AQ67" s="119"/>
    </row>
    <row r="68" spans="1:43" s="38" customFormat="1" ht="11.25" customHeight="1" x14ac:dyDescent="0.2">
      <c r="A68" s="220"/>
      <c r="B68" s="434">
        <f ca="1">IF(EB.Anwendung&lt;&gt;"",
IF(B67&gt;0,0,
IF(SUM(B23,B45)&gt;0,1,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
)),"")</f>
        <v>1</v>
      </c>
      <c r="C68" s="434">
        <f ca="1">IF(EB.Anwendung&lt;&gt;"",
IF(C67&gt;0,0,
IF(SUM(C23,C45)&gt;0,1,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
)),"")</f>
        <v>1</v>
      </c>
      <c r="D68" s="434">
        <f ca="1">IF(EB.Anwendung&lt;&gt;"",
IF(D67&gt;0,0,
IF(SUM(D23,D45)&gt;0,1,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
)),"")</f>
        <v>1</v>
      </c>
      <c r="E68" s="434">
        <f ca="1">IF(EB.Anwendung&lt;&gt;"",
IF(E67&gt;0,0,
IF(SUM(E23,E45)&gt;0,1,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
)),"")</f>
        <v>1</v>
      </c>
      <c r="F68" s="434">
        <f ca="1">IF(EB.Anwendung&lt;&gt;"",
IF(F67&gt;0,0,
IF(SUM(F23,F45)&gt;0,1,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
)),"")</f>
        <v>1</v>
      </c>
      <c r="G68" s="434">
        <f ca="1">IF(EB.Anwendung&lt;&gt;"",
IF(G67&gt;0,0,
IF(SUM(G23,G45)&gt;0,1,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
)),"")</f>
        <v>1</v>
      </c>
      <c r="H68" s="434">
        <f ca="1">IF(EB.Anwendung&lt;&gt;"",
IF(H67&gt;0,0,
IF(SUM(H23,H45)&gt;0,1,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
)),"")</f>
        <v>1</v>
      </c>
      <c r="I68" s="434">
        <f ca="1">IF(EB.Anwendung&lt;&gt;"",
IF(I67&gt;0,0,
IF(SUM(I23,I45)&gt;0,1,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
)),"")</f>
        <v>1</v>
      </c>
      <c r="J68" s="434">
        <f ca="1">IF(EB.Anwendung&lt;&gt;"",
IF(J67&gt;0,0,
IF(SUM(J23,J45)&gt;0,1,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
)),"")</f>
        <v>1</v>
      </c>
      <c r="K68" s="434">
        <f ca="1">IF(EB.Anwendung&lt;&gt;"",
IF(K67&gt;0,0,
IF(SUM(K23,K45)&gt;0,1,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
)),"")</f>
        <v>1</v>
      </c>
      <c r="L68" s="434">
        <f ca="1">IF(EB.Anwendung&lt;&gt;"",
IF(L67&gt;0,0,
IF(SUM(L23,L45)&gt;0,1,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
)),"")</f>
        <v>1</v>
      </c>
      <c r="M68" s="434">
        <f ca="1">IF(EB.Anwendung&lt;&gt;"",
IF(M67&gt;0,0,
IF(SUM(M23,M45)&gt;0,1,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
)),"")</f>
        <v>1</v>
      </c>
      <c r="N68" s="434">
        <f ca="1">IF(EB.Anwendung&lt;&gt;"",
IF(N67&gt;0,0,
IF(SUM(N23,N45)&gt;0,1,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
)),"")</f>
        <v>1</v>
      </c>
      <c r="O68" s="434">
        <f ca="1">IF(EB.Anwendung&lt;&gt;"",
IF(O67&gt;0,0,
IF(SUM(O23,O45)&gt;0,1,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
)),"")</f>
        <v>1</v>
      </c>
      <c r="P68" s="434">
        <f ca="1">IF(EB.Anwendung&lt;&gt;"",
IF(P67&gt;0,0,
IF(SUM(P23,P45)&gt;0,1,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
)),"")</f>
        <v>1</v>
      </c>
      <c r="Q68" s="434">
        <f ca="1">IF(EB.Anwendung&lt;&gt;"",
IF(Q67&gt;0,0,
IF(SUM(Q23,Q45)&gt;0,1,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
)),"")</f>
        <v>1</v>
      </c>
      <c r="R68" s="434">
        <f ca="1">IF(EB.Anwendung&lt;&gt;"",
IF(R67&gt;0,0,
IF(SUM(R23,R45)&gt;0,1,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
)),"")</f>
        <v>1</v>
      </c>
      <c r="S68" s="434">
        <f ca="1">IF(EB.Anwendung&lt;&gt;"",
IF(S67&gt;0,0,
IF(SUM(S23,S45)&gt;0,1,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
)),"")</f>
        <v>1</v>
      </c>
      <c r="T68" s="434">
        <f ca="1">IF(EB.Anwendung&lt;&gt;"",
IF(T67&gt;0,0,
IF(SUM(T23,T45)&gt;0,1,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
)),"")</f>
        <v>1</v>
      </c>
      <c r="U68" s="434">
        <f ca="1">IF(EB.Anwendung&lt;&gt;"",
IF(U67&gt;0,0,
IF(SUM(U23,U45)&gt;0,1,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
)),"")</f>
        <v>1</v>
      </c>
      <c r="V68" s="434">
        <f ca="1">IF(EB.Anwendung&lt;&gt;"",
IF(V67&gt;0,0,
IF(SUM(V23,V45)&gt;0,1,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
)),"")</f>
        <v>1</v>
      </c>
      <c r="W68" s="434">
        <f ca="1">IF(EB.Anwendung&lt;&gt;"",
IF(W67&gt;0,0,
IF(SUM(W23,W45)&gt;0,1,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
)),"")</f>
        <v>1</v>
      </c>
      <c r="X68" s="434">
        <f ca="1">IF(EB.Anwendung&lt;&gt;"",
IF(X67&gt;0,0,
IF(SUM(X23,X45)&gt;0,1,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
)),"")</f>
        <v>1</v>
      </c>
      <c r="Y68" s="434">
        <f ca="1">IF(EB.Anwendung&lt;&gt;"",
IF(Y67&gt;0,0,
IF(SUM(Y23,Y45)&gt;0,1,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
)),"")</f>
        <v>1</v>
      </c>
      <c r="Z68" s="434">
        <f ca="1">IF(EB.Anwendung&lt;&gt;"",
IF(Z67&gt;0,0,
IF(SUM(Z23,Z45)&gt;0,1,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
)),"")</f>
        <v>1</v>
      </c>
      <c r="AA68" s="434">
        <f ca="1">IF(EB.Anwendung&lt;&gt;"",
IF(AA67&gt;0,0,
IF(SUM(AA23,AA45)&gt;0,1,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
)),"")</f>
        <v>1</v>
      </c>
      <c r="AB68" s="434">
        <f ca="1">IF(EB.Anwendung&lt;&gt;"",
IF(AB67&gt;0,0,
IF(SUM(AB23,AB45)&gt;0,1,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
)),"")</f>
        <v>1</v>
      </c>
      <c r="AC68" s="434">
        <f ca="1">IF(EB.Anwendung&lt;&gt;"",
IF(AC67&gt;0,0,
IF(SUM(AC23,AC45)&gt;0,1,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
)),"")</f>
        <v>1</v>
      </c>
      <c r="AD68" s="434">
        <f ca="1">IF(EB.Anwendung&lt;&gt;"",
IF(AD67&gt;0,0,
IF(SUM(AD23,AD45)&gt;0,1,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
)),"")</f>
        <v>1</v>
      </c>
      <c r="AE68" s="434">
        <f ca="1">IF(EB.Anwendung&lt;&gt;"",
IF(AE67&gt;0,0,
IF(SUM(AE23,AE45)&gt;0,1,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
)),"")</f>
        <v>1</v>
      </c>
      <c r="AF68" s="435">
        <f ca="1">IF(EB.Anwendung&lt;&gt;"",
IF(AF67&gt;0,0,
IF(SUM(AF23,AF45)&gt;0,1,
IF(DAY(AF$10)=1,IF(MONTH(Monat.Tag1)=1,1,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E68)
)),"")</f>
        <v>1</v>
      </c>
      <c r="AG68" s="205"/>
      <c r="AH68" s="188"/>
      <c r="AI68" s="213"/>
      <c r="AJ68" s="214"/>
      <c r="AK68" s="209"/>
      <c r="AL68" s="209"/>
      <c r="AM68" s="209"/>
      <c r="AN68" s="436">
        <f ca="1">IF(OFFSET(A68,0,DAY(EOMONTH(Monat.Tag1,0)))=0,0,1)</f>
        <v>1</v>
      </c>
      <c r="AO68" s="209"/>
      <c r="AP68" s="209"/>
      <c r="AQ68" s="119"/>
    </row>
    <row r="69" spans="1:43" s="38" customFormat="1" ht="15" hidden="1" customHeight="1" x14ac:dyDescent="0.2">
      <c r="A69" s="212" t="s">
        <v>220</v>
      </c>
      <c r="B69" s="273">
        <f t="shared" ref="B69:AF69" ca="1" si="18">IF(AND(T.50_Vetsuisse,B72=INDEX(T.JaNein.Bereich,1,1),B73&gt;0,MOD(IFERROR(MATCH(1,B13:B22,0),1),2)=0),1,
IF(AND(T.ServiceCenterIrchel,B72=INDEX(T.JaNein.Bereich,1,1),B77&gt;0),1,
IF(AND(T.50_Vetsuisse=FALSE,T.ServiceCenterIrchel=FALSE,B77&gt;0),1,0)))</f>
        <v>0</v>
      </c>
      <c r="C69" s="273">
        <f t="shared" ca="1" si="18"/>
        <v>0</v>
      </c>
      <c r="D69" s="273">
        <f t="shared" ca="1" si="18"/>
        <v>0</v>
      </c>
      <c r="E69" s="273">
        <f t="shared" ca="1" si="18"/>
        <v>0</v>
      </c>
      <c r="F69" s="273">
        <f t="shared" ca="1" si="18"/>
        <v>0</v>
      </c>
      <c r="G69" s="273">
        <f t="shared" ca="1" si="18"/>
        <v>0</v>
      </c>
      <c r="H69" s="273">
        <f t="shared" ca="1" si="18"/>
        <v>0</v>
      </c>
      <c r="I69" s="273">
        <f t="shared" ca="1" si="18"/>
        <v>0</v>
      </c>
      <c r="J69" s="273">
        <f t="shared" ca="1" si="18"/>
        <v>0</v>
      </c>
      <c r="K69" s="273">
        <f t="shared" ca="1" si="18"/>
        <v>0</v>
      </c>
      <c r="L69" s="273">
        <f t="shared" ca="1" si="18"/>
        <v>0</v>
      </c>
      <c r="M69" s="273">
        <f t="shared" ca="1" si="18"/>
        <v>0</v>
      </c>
      <c r="N69" s="273">
        <f t="shared" ca="1" si="18"/>
        <v>0</v>
      </c>
      <c r="O69" s="273">
        <f t="shared" ca="1" si="18"/>
        <v>0</v>
      </c>
      <c r="P69" s="273">
        <f t="shared" ca="1" si="18"/>
        <v>0</v>
      </c>
      <c r="Q69" s="273">
        <f t="shared" ca="1" si="18"/>
        <v>0</v>
      </c>
      <c r="R69" s="273">
        <f t="shared" ca="1" si="18"/>
        <v>0</v>
      </c>
      <c r="S69" s="273">
        <f t="shared" ca="1" si="18"/>
        <v>0</v>
      </c>
      <c r="T69" s="273">
        <f t="shared" ca="1" si="18"/>
        <v>0</v>
      </c>
      <c r="U69" s="273">
        <f t="shared" ca="1" si="18"/>
        <v>0</v>
      </c>
      <c r="V69" s="273">
        <f t="shared" ca="1" si="18"/>
        <v>0</v>
      </c>
      <c r="W69" s="273">
        <f t="shared" ca="1" si="18"/>
        <v>0</v>
      </c>
      <c r="X69" s="273">
        <f t="shared" ca="1" si="18"/>
        <v>0</v>
      </c>
      <c r="Y69" s="273">
        <f t="shared" ca="1" si="18"/>
        <v>0</v>
      </c>
      <c r="Z69" s="273">
        <f t="shared" ca="1" si="18"/>
        <v>0</v>
      </c>
      <c r="AA69" s="273">
        <f t="shared" ca="1" si="18"/>
        <v>0</v>
      </c>
      <c r="AB69" s="273">
        <f t="shared" ca="1" si="18"/>
        <v>0</v>
      </c>
      <c r="AC69" s="273">
        <f t="shared" ca="1" si="18"/>
        <v>0</v>
      </c>
      <c r="AD69" s="273">
        <f t="shared" ca="1" si="18"/>
        <v>0</v>
      </c>
      <c r="AE69" s="273">
        <f t="shared" ca="1" si="18"/>
        <v>0</v>
      </c>
      <c r="AF69" s="273">
        <f t="shared" ca="1" si="18"/>
        <v>0</v>
      </c>
      <c r="AG69" s="205" t="str">
        <f>A69</f>
        <v>Counter night shift</v>
      </c>
      <c r="AH69" s="274"/>
      <c r="AI69" s="275">
        <f ca="1">SUM(B69:AF69)</f>
        <v>0</v>
      </c>
      <c r="AJ69" s="261"/>
      <c r="AK69" s="224"/>
      <c r="AL69" s="276">
        <f ca="1">IF(EB.Anwendung&lt;&gt;"",IF(MONTH(Monat.Tag1)=1,0,IF(MONTH(Monat.Tag1)=2,January!Monat.ZählerNDUe,IF(MONTH(Monat.Tag1)=3,February!Monat.ZählerNDUe,IF(MONTH(Monat.Tag1)=4,March!Monat.ZählerNDUe,IF(MONTH(Monat.Tag1)=5,April!Monat.ZählerNDUe,IF(MONTH(Monat.Tag1)=6,May!Monat.ZählerNDUe,IF(MONTH(Monat.Tag1)=7,June!Monat.ZählerNDUe,IF(MONTH(Monat.Tag1)=8,July!Monat.ZählerNDUe,IF(MONTH(Monat.Tag1)=9,August!Monat.ZählerNDUe,IF(MONTH(Monat.Tag1)=10,September!Monat.ZählerNDUe,IF(MONTH(Monat.Tag1)=11,October!Monat.ZählerNDUe,IF(MONTH(Monat.Tag1)=12,November!Monat.ZählerNDUe,"")))))))))))),"")</f>
        <v>0</v>
      </c>
      <c r="AM69" s="209"/>
      <c r="AN69" s="277">
        <f ca="1">AL69+AI69</f>
        <v>0</v>
      </c>
      <c r="AO69" s="208"/>
      <c r="AP69" s="208"/>
      <c r="AQ69" s="119"/>
    </row>
    <row r="70" spans="1:43" s="38" customFormat="1" ht="15" hidden="1" customHeight="1" x14ac:dyDescent="0.2">
      <c r="A70" s="212" t="s">
        <v>221</v>
      </c>
      <c r="B70" s="273">
        <f t="shared" ref="B70:AF70" ca="1" si="19">IF(DAY(B$10)=1,$AL$69,A70)+B69</f>
        <v>0</v>
      </c>
      <c r="C70" s="273">
        <f t="shared" ca="1" si="19"/>
        <v>0</v>
      </c>
      <c r="D70" s="273">
        <f t="shared" ca="1" si="19"/>
        <v>0</v>
      </c>
      <c r="E70" s="273">
        <f t="shared" ca="1" si="19"/>
        <v>0</v>
      </c>
      <c r="F70" s="273">
        <f t="shared" ca="1" si="19"/>
        <v>0</v>
      </c>
      <c r="G70" s="273">
        <f t="shared" ca="1" si="19"/>
        <v>0</v>
      </c>
      <c r="H70" s="273">
        <f t="shared" ca="1" si="19"/>
        <v>0</v>
      </c>
      <c r="I70" s="273">
        <f t="shared" ca="1" si="19"/>
        <v>0</v>
      </c>
      <c r="J70" s="273">
        <f t="shared" ca="1" si="19"/>
        <v>0</v>
      </c>
      <c r="K70" s="273">
        <f t="shared" ca="1" si="19"/>
        <v>0</v>
      </c>
      <c r="L70" s="273">
        <f t="shared" ca="1" si="19"/>
        <v>0</v>
      </c>
      <c r="M70" s="273">
        <f t="shared" ca="1" si="19"/>
        <v>0</v>
      </c>
      <c r="N70" s="273">
        <f t="shared" ca="1" si="19"/>
        <v>0</v>
      </c>
      <c r="O70" s="273">
        <f t="shared" ca="1" si="19"/>
        <v>0</v>
      </c>
      <c r="P70" s="273">
        <f t="shared" ca="1" si="19"/>
        <v>0</v>
      </c>
      <c r="Q70" s="273">
        <f t="shared" ca="1" si="19"/>
        <v>0</v>
      </c>
      <c r="R70" s="273">
        <f t="shared" ca="1" si="19"/>
        <v>0</v>
      </c>
      <c r="S70" s="273">
        <f t="shared" ca="1" si="19"/>
        <v>0</v>
      </c>
      <c r="T70" s="273">
        <f t="shared" ca="1" si="19"/>
        <v>0</v>
      </c>
      <c r="U70" s="273">
        <f t="shared" ca="1" si="19"/>
        <v>0</v>
      </c>
      <c r="V70" s="273">
        <f t="shared" ca="1" si="19"/>
        <v>0</v>
      </c>
      <c r="W70" s="273">
        <f t="shared" ca="1" si="19"/>
        <v>0</v>
      </c>
      <c r="X70" s="273">
        <f t="shared" ca="1" si="19"/>
        <v>0</v>
      </c>
      <c r="Y70" s="273">
        <f t="shared" ca="1" si="19"/>
        <v>0</v>
      </c>
      <c r="Z70" s="273">
        <f t="shared" ca="1" si="19"/>
        <v>0</v>
      </c>
      <c r="AA70" s="273">
        <f t="shared" ca="1" si="19"/>
        <v>0</v>
      </c>
      <c r="AB70" s="273">
        <f t="shared" ca="1" si="19"/>
        <v>0</v>
      </c>
      <c r="AC70" s="273">
        <f t="shared" ca="1" si="19"/>
        <v>0</v>
      </c>
      <c r="AD70" s="273">
        <f t="shared" ca="1" si="19"/>
        <v>0</v>
      </c>
      <c r="AE70" s="273">
        <f t="shared" ca="1" si="19"/>
        <v>0</v>
      </c>
      <c r="AF70" s="273">
        <f t="shared" ca="1" si="19"/>
        <v>0</v>
      </c>
      <c r="AG70" s="205" t="str">
        <f t="shared" ref="AG70:AG82" si="20">A70</f>
        <v>Balance counter night shift</v>
      </c>
      <c r="AH70" s="228"/>
      <c r="AI70" s="224"/>
      <c r="AJ70" s="278"/>
      <c r="AK70" s="262"/>
      <c r="AL70" s="262"/>
      <c r="AM70" s="209"/>
      <c r="AN70" s="279"/>
      <c r="AO70" s="208"/>
      <c r="AP70" s="208"/>
      <c r="AQ70" s="119"/>
    </row>
    <row r="71" spans="1:43" s="38" customFormat="1" ht="15" hidden="1" customHeight="1" outlineLevel="1" x14ac:dyDescent="0.2">
      <c r="A71" s="212" t="s">
        <v>222</v>
      </c>
      <c r="B71" s="40"/>
      <c r="C71" s="40"/>
      <c r="D71" s="40"/>
      <c r="E71" s="27"/>
      <c r="F71" s="40"/>
      <c r="G71" s="40"/>
      <c r="H71" s="40"/>
      <c r="I71" s="40"/>
      <c r="J71" s="27"/>
      <c r="K71" s="40"/>
      <c r="L71" s="27"/>
      <c r="M71" s="40"/>
      <c r="N71" s="40"/>
      <c r="O71" s="40"/>
      <c r="P71" s="40"/>
      <c r="Q71" s="27"/>
      <c r="R71" s="40"/>
      <c r="S71" s="27"/>
      <c r="T71" s="27"/>
      <c r="U71" s="40"/>
      <c r="V71" s="40"/>
      <c r="W71" s="40"/>
      <c r="X71" s="27"/>
      <c r="Y71" s="40"/>
      <c r="Z71" s="39"/>
      <c r="AA71" s="40"/>
      <c r="AB71" s="40"/>
      <c r="AC71" s="40"/>
      <c r="AD71" s="40"/>
      <c r="AE71" s="27"/>
      <c r="AF71" s="40"/>
      <c r="AG71" s="205" t="str">
        <f t="shared" si="20"/>
        <v>Compensation TS night shift</v>
      </c>
      <c r="AH71" s="218"/>
      <c r="AI71" s="238">
        <f t="shared" ref="AI71" si="21">SUM(B71:AF71)</f>
        <v>0</v>
      </c>
      <c r="AJ71" s="261"/>
      <c r="AK71" s="262"/>
      <c r="AL71" s="245">
        <f ca="1">IF(EB.Anwendung&lt;&gt;"",IF(MONTH(Monat.Tag1)=1,0,IF(MONTH(Monat.Tag1)=2,January!Monat.KompZZSNDUeVM,IF(MONTH(Monat.Tag1)=3,February!Monat.KompZZSNDUeVM,IF(MONTH(Monat.Tag1)=4,March!Monat.KompZZSNDUeVM,IF(MONTH(Monat.Tag1)=5,April!Monat.KompZZSNDUeVM,IF(MONTH(Monat.Tag1)=6,May!Monat.KompZZSNDUeVM,IF(MONTH(Monat.Tag1)=7,June!Monat.KompZZSNDUeVM,IF(MONTH(Monat.Tag1)=8,July!Monat.KompZZSNDUeVM,IF(MONTH(Monat.Tag1)=9,August!Monat.KompZZSNDUeVM,IF(MONTH(Monat.Tag1)=10,September!Monat.KompZZSNDUeVM,IF(MONTH(Monat.Tag1)=11,October!Monat.KompZZSNDUeVM,IF(MONTH(Monat.Tag1)=12,November!Monat.KompZZSNDUeVM,"")))))))))))),"")</f>
        <v>0</v>
      </c>
      <c r="AM71" s="209"/>
      <c r="AN71" s="246">
        <f ca="1">AI71+AL71</f>
        <v>0</v>
      </c>
      <c r="AO71" s="246">
        <f ca="1">SUM(OFFSET(Jahr.KompZZSND,-12,0,MONTH(Monat.Tag1),1))</f>
        <v>0</v>
      </c>
      <c r="AP71" s="246">
        <f ca="1">Jahr.KompZZSND</f>
        <v>0</v>
      </c>
      <c r="AQ71" s="119"/>
    </row>
    <row r="72" spans="1:43" s="38" customFormat="1" ht="15" hidden="1" customHeight="1" outlineLevel="1" x14ac:dyDescent="0.2">
      <c r="A72" s="212" t="s">
        <v>223</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205" t="str">
        <f t="shared" si="20"/>
        <v>Start pl. night shift Yes/No</v>
      </c>
      <c r="AH72" s="218"/>
      <c r="AI72" s="224"/>
      <c r="AJ72" s="229">
        <f ca="1">IFERROR(SUMPRODUCT((B72:AF72=INDEX(T.JaNein.Bereich,1))*(B72:AF72&lt;&gt;"")),0)</f>
        <v>0</v>
      </c>
      <c r="AK72" s="262"/>
      <c r="AL72" s="229">
        <f ca="1">AL69</f>
        <v>0</v>
      </c>
      <c r="AM72" s="209"/>
      <c r="AN72" s="277">
        <f ca="1">AN69</f>
        <v>0</v>
      </c>
      <c r="AO72" s="209"/>
      <c r="AP72" s="209"/>
      <c r="AQ72" s="119"/>
    </row>
    <row r="73" spans="1:43" s="38" customFormat="1" ht="15" customHeight="1" outlineLevel="1" x14ac:dyDescent="0.2">
      <c r="A73" s="212" t="s">
        <v>88</v>
      </c>
      <c r="B73" s="280">
        <f t="shared" ref="B73:AF73" ca="1" si="22">IF(B$12=0,0,IF(OR(T.50_Vetsuisse,T.ServiceCenterIrchel),ROUND((B14-B13+MAX(0,T.Nachtab-MAX(T.Nachtbis,B14))-MAX(0,T.Nachtab-MAX(B13,T.Nachtbis))+(B13&gt;B14)*(1+T.Nachtbis-T.Nachtab)+B16-B15+MAX(0,T.Nachtab-MAX(T.Nachtbis,B16))-MAX(0,T.Nachtab-MAX(B15,T.Nachtbis))+(B15&gt;B16)*(1+T.Nachtbis-T.Nachtab)+B18-B17+MAX(0,T.Nachtab-MAX(T.Nachtbis,B18))-MAX(0,T.Nachtab-MAX(B17,T.Nachtbis))+(B17&gt;B18)*(1+T.Nachtbis-T.Nachtab)+B20-B19+MAX(0,T.Nachtab-MAX(T.Nachtbis,B20))-MAX(0,T.Nachtab-MAX(B19,T.Nachtbis))+(B19&gt;B20)*(1+T.Nachtbis-T.Nachtab)+B22-B21+MAX(0,T.Nachtab-MAX(T.Nachtbis,B22))-MAX(0,T.Nachtab-MAX(B21,T.Nachtbis))+(B21&gt;B22)*(1+T.Nachtbis-T.Nachtab))*1440,0)/1440,
IF(AND(WEEKDAY(B$10,2)&lt;6,B$11&lt;&gt;0),ROUND((B36-B35+MAX(0,T.Nachtab-MAX(T.Nachtbis,B36))-MAX(0,T.Nachtab-MAX(B35,T.Nachtbis))+(B35&gt;B36)*(1+T.Nachtbis-T.Nachtab)+B38-B37+MAX(0,T.Nachtab-MAX(T.Nachtbis,B38))-MAX(0,T.Nachtab-MAX(B37,T.Nachtbis))+(B37&gt;B38)*(1+T.Nachtbis-T.Nachtab)+B40-B39+MAX(0,T.Nachtab-MAX(T.Nachtbis,B40))-MAX(0,T.Nachtab-MAX(B39,T.Nachtbis))+(B39&gt;B40)*(1+T.Nachtbis-T.Nachtab)+B42-B41+MAX(0,T.Nachtab-MAX(T.Nachtbis,B42))-MAX(0,T.Nachtab-MAX(B41,T.Nachtbis))+(B41&gt;B42)*(1+T.Nachtbis-T.Nachtab)+B44-B43+MAX(0,T.Nachtab-MAX(T.Nachtbis,B44))-MAX(0,T.Nachtab-MAX(B43,T.Nachtbis))+(B43&gt;B44)*(1+T.Nachtbis-T.Nachtab))*1440,0)/1440,0)))</f>
        <v>0</v>
      </c>
      <c r="C73" s="280">
        <f t="shared" ca="1" si="22"/>
        <v>0</v>
      </c>
      <c r="D73" s="280">
        <f t="shared" ca="1" si="22"/>
        <v>0</v>
      </c>
      <c r="E73" s="280">
        <f t="shared" ca="1" si="22"/>
        <v>0</v>
      </c>
      <c r="F73" s="280">
        <f t="shared" ca="1" si="22"/>
        <v>0</v>
      </c>
      <c r="G73" s="280">
        <f t="shared" ca="1" si="22"/>
        <v>0</v>
      </c>
      <c r="H73" s="280">
        <f t="shared" ca="1" si="22"/>
        <v>0</v>
      </c>
      <c r="I73" s="280">
        <f t="shared" ca="1" si="22"/>
        <v>0</v>
      </c>
      <c r="J73" s="280">
        <f t="shared" ca="1" si="22"/>
        <v>0</v>
      </c>
      <c r="K73" s="280">
        <f t="shared" ca="1" si="22"/>
        <v>0</v>
      </c>
      <c r="L73" s="280">
        <f t="shared" ca="1" si="22"/>
        <v>0</v>
      </c>
      <c r="M73" s="280">
        <f t="shared" ca="1" si="22"/>
        <v>0</v>
      </c>
      <c r="N73" s="280">
        <f t="shared" ca="1" si="22"/>
        <v>0</v>
      </c>
      <c r="O73" s="280">
        <f t="shared" ca="1" si="22"/>
        <v>0</v>
      </c>
      <c r="P73" s="280">
        <f t="shared" ca="1" si="22"/>
        <v>0</v>
      </c>
      <c r="Q73" s="280">
        <f t="shared" ca="1" si="22"/>
        <v>0</v>
      </c>
      <c r="R73" s="280">
        <f t="shared" ca="1" si="22"/>
        <v>0</v>
      </c>
      <c r="S73" s="280">
        <f t="shared" ca="1" si="22"/>
        <v>0</v>
      </c>
      <c r="T73" s="280">
        <f t="shared" ca="1" si="22"/>
        <v>0</v>
      </c>
      <c r="U73" s="280">
        <f t="shared" ca="1" si="22"/>
        <v>0</v>
      </c>
      <c r="V73" s="280">
        <f t="shared" ca="1" si="22"/>
        <v>0</v>
      </c>
      <c r="W73" s="280">
        <f t="shared" ca="1" si="22"/>
        <v>0</v>
      </c>
      <c r="X73" s="280">
        <f t="shared" ca="1" si="22"/>
        <v>0</v>
      </c>
      <c r="Y73" s="280">
        <f t="shared" ca="1" si="22"/>
        <v>0</v>
      </c>
      <c r="Z73" s="280">
        <f t="shared" ca="1" si="22"/>
        <v>0</v>
      </c>
      <c r="AA73" s="280">
        <f t="shared" ca="1" si="22"/>
        <v>0</v>
      </c>
      <c r="AB73" s="280">
        <f t="shared" ca="1" si="22"/>
        <v>0</v>
      </c>
      <c r="AC73" s="280">
        <f t="shared" ca="1" si="22"/>
        <v>0</v>
      </c>
      <c r="AD73" s="280">
        <f t="shared" ca="1" si="22"/>
        <v>0</v>
      </c>
      <c r="AE73" s="280">
        <f t="shared" ca="1" si="22"/>
        <v>0</v>
      </c>
      <c r="AF73" s="280">
        <f t="shared" ca="1" si="22"/>
        <v>0</v>
      </c>
      <c r="AG73" s="205" t="str">
        <f t="shared" si="20"/>
        <v>Night shift</v>
      </c>
      <c r="AH73" s="228"/>
      <c r="AI73" s="238">
        <f ca="1">SUM(B73:AF73)</f>
        <v>0</v>
      </c>
      <c r="AJ73" s="229">
        <f ca="1">IF(OR(T.50_Vetsuisse,T.ServiceCenterIrchel),AI69,
IFERROR(SUMPRODUCT((B77:AF77&gt;0)*(B77:AF77&lt;&gt;"")),0))</f>
        <v>0</v>
      </c>
      <c r="AK73" s="224"/>
      <c r="AL73" s="245">
        <f ca="1">IF(EB.Anwendung&lt;&gt;"",IF(MONTH(Monat.Tag1)=1,0,IF(MONTH(Monat.Tag1)=2,January!Monat.NDUeVM,IF(MONTH(Monat.Tag1)=3,February!Monat.NDUeVM,IF(MONTH(Monat.Tag1)=4,March!Monat.NDUeVM,IF(MONTH(Monat.Tag1)=5,April!Monat.NDUeVM,IF(MONTH(Monat.Tag1)=6,May!Monat.NDUeVM,IF(MONTH(Monat.Tag1)=7,June!Monat.NDUeVM,IF(MONTH(Monat.Tag1)=8,July!Monat.NDUeVM,IF(MONTH(Monat.Tag1)=9,August!Monat.NDUeVM,IF(MONTH(Monat.Tag1)=10,September!Monat.NDUeVM,IF(MONTH(Monat.Tag1)=11,October!Monat.NDUeVM,IF(MONTH(Monat.Tag1)=12,November!Monat.NDUeVM,"")))))))))))),"")</f>
        <v>0</v>
      </c>
      <c r="AM73" s="209"/>
      <c r="AN73" s="246">
        <f ca="1">AI73+AL73</f>
        <v>0</v>
      </c>
      <c r="AO73" s="208"/>
      <c r="AP73" s="208"/>
      <c r="AQ73" s="119"/>
    </row>
    <row r="74" spans="1:43" s="38" customFormat="1" ht="3.75" hidden="1" customHeight="1" x14ac:dyDescent="0.2">
      <c r="A74" s="220"/>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213"/>
      <c r="AG74" s="205"/>
      <c r="AH74" s="188"/>
      <c r="AI74" s="213"/>
      <c r="AJ74" s="214"/>
      <c r="AK74" s="209"/>
      <c r="AL74" s="209"/>
      <c r="AM74" s="209"/>
      <c r="AN74" s="208"/>
      <c r="AO74" s="209"/>
      <c r="AP74" s="209"/>
      <c r="AQ74" s="119"/>
    </row>
    <row r="75" spans="1:43" s="38" customFormat="1" ht="16.5" hidden="1" customHeight="1" outlineLevel="1" x14ac:dyDescent="0.2">
      <c r="A75" s="215" t="s">
        <v>252</v>
      </c>
      <c r="B75" s="216">
        <f t="shared" ref="B75:AF75" ca="1" si="23">IF(B73&gt;0,ROUND((B73-
IF(B13&lt;T.Nachtbis,MIN(T.Nachtbis-B13,B14-B13)+IF(B15&lt;T.Nachtbis,MIN(T.Nachtbis-B15,B16-B15)+IF(B17&lt;T.Nachtbis,MIN(T.Nachtbis-B17,B18-B17)+IF(B19&lt;T.Nachtbis,MIN(T.Nachtbis-B19,B20-B19)+IF(B21&lt;T.Nachtbis,MIN(T.Nachtbis-B21,B22-B21),0),0),0),0),0))*1440,0)/1440,0)</f>
        <v>0</v>
      </c>
      <c r="C75" s="216">
        <f t="shared" ca="1" si="23"/>
        <v>0</v>
      </c>
      <c r="D75" s="216">
        <f t="shared" ca="1" si="23"/>
        <v>0</v>
      </c>
      <c r="E75" s="216">
        <f t="shared" ca="1" si="23"/>
        <v>0</v>
      </c>
      <c r="F75" s="216">
        <f t="shared" ca="1" si="23"/>
        <v>0</v>
      </c>
      <c r="G75" s="216">
        <f t="shared" ca="1" si="23"/>
        <v>0</v>
      </c>
      <c r="H75" s="216">
        <f t="shared" ca="1" si="23"/>
        <v>0</v>
      </c>
      <c r="I75" s="216">
        <f t="shared" ca="1" si="23"/>
        <v>0</v>
      </c>
      <c r="J75" s="216">
        <f t="shared" ca="1" si="23"/>
        <v>0</v>
      </c>
      <c r="K75" s="216">
        <f t="shared" ca="1" si="23"/>
        <v>0</v>
      </c>
      <c r="L75" s="216">
        <f t="shared" ca="1" si="23"/>
        <v>0</v>
      </c>
      <c r="M75" s="216">
        <f t="shared" ca="1" si="23"/>
        <v>0</v>
      </c>
      <c r="N75" s="216">
        <f t="shared" ca="1" si="23"/>
        <v>0</v>
      </c>
      <c r="O75" s="216">
        <f t="shared" ca="1" si="23"/>
        <v>0</v>
      </c>
      <c r="P75" s="216">
        <f t="shared" ca="1" si="23"/>
        <v>0</v>
      </c>
      <c r="Q75" s="216">
        <f t="shared" ca="1" si="23"/>
        <v>0</v>
      </c>
      <c r="R75" s="216">
        <f t="shared" ca="1" si="23"/>
        <v>0</v>
      </c>
      <c r="S75" s="216">
        <f t="shared" ca="1" si="23"/>
        <v>0</v>
      </c>
      <c r="T75" s="216">
        <f t="shared" ca="1" si="23"/>
        <v>0</v>
      </c>
      <c r="U75" s="216">
        <f t="shared" ca="1" si="23"/>
        <v>0</v>
      </c>
      <c r="V75" s="216">
        <f t="shared" ca="1" si="23"/>
        <v>0</v>
      </c>
      <c r="W75" s="216">
        <f t="shared" ca="1" si="23"/>
        <v>0</v>
      </c>
      <c r="X75" s="216">
        <f t="shared" ca="1" si="23"/>
        <v>0</v>
      </c>
      <c r="Y75" s="216">
        <f t="shared" ca="1" si="23"/>
        <v>0</v>
      </c>
      <c r="Z75" s="216">
        <f t="shared" ca="1" si="23"/>
        <v>0</v>
      </c>
      <c r="AA75" s="216">
        <f t="shared" ca="1" si="23"/>
        <v>0</v>
      </c>
      <c r="AB75" s="216">
        <f t="shared" ca="1" si="23"/>
        <v>0</v>
      </c>
      <c r="AC75" s="216">
        <f t="shared" ca="1" si="23"/>
        <v>0</v>
      </c>
      <c r="AD75" s="216">
        <f t="shared" ca="1" si="23"/>
        <v>0</v>
      </c>
      <c r="AE75" s="216">
        <f t="shared" ca="1" si="23"/>
        <v>0</v>
      </c>
      <c r="AF75" s="216">
        <f t="shared" ca="1" si="23"/>
        <v>0</v>
      </c>
      <c r="AG75" s="217" t="str">
        <f t="shared" ref="AG75:AG77" si="24">A75</f>
        <v>Total NS hours today</v>
      </c>
      <c r="AH75" s="188"/>
      <c r="AI75" s="213"/>
      <c r="AJ75" s="214"/>
      <c r="AK75" s="209"/>
      <c r="AL75" s="209"/>
      <c r="AM75" s="209"/>
      <c r="AN75" s="208"/>
      <c r="AO75" s="209"/>
      <c r="AP75" s="209"/>
      <c r="AQ75" s="119"/>
    </row>
    <row r="76" spans="1:43" s="38" customFormat="1" ht="16.5" hidden="1" customHeight="1" outlineLevel="1" x14ac:dyDescent="0.2">
      <c r="A76" s="215" t="s">
        <v>253</v>
      </c>
      <c r="B76" s="225">
        <f t="shared" ref="B76:AF76" ca="1" si="25">B73-B75</f>
        <v>0</v>
      </c>
      <c r="C76" s="225">
        <f t="shared" ca="1" si="25"/>
        <v>0</v>
      </c>
      <c r="D76" s="225">
        <f t="shared" ca="1" si="25"/>
        <v>0</v>
      </c>
      <c r="E76" s="225">
        <f t="shared" ca="1" si="25"/>
        <v>0</v>
      </c>
      <c r="F76" s="225">
        <f t="shared" ca="1" si="25"/>
        <v>0</v>
      </c>
      <c r="G76" s="225">
        <f t="shared" ca="1" si="25"/>
        <v>0</v>
      </c>
      <c r="H76" s="225">
        <f t="shared" ca="1" si="25"/>
        <v>0</v>
      </c>
      <c r="I76" s="225">
        <f t="shared" ca="1" si="25"/>
        <v>0</v>
      </c>
      <c r="J76" s="225">
        <f t="shared" ca="1" si="25"/>
        <v>0</v>
      </c>
      <c r="K76" s="225">
        <f t="shared" ca="1" si="25"/>
        <v>0</v>
      </c>
      <c r="L76" s="225">
        <f t="shared" ca="1" si="25"/>
        <v>0</v>
      </c>
      <c r="M76" s="225">
        <f t="shared" ca="1" si="25"/>
        <v>0</v>
      </c>
      <c r="N76" s="225">
        <f t="shared" ca="1" si="25"/>
        <v>0</v>
      </c>
      <c r="O76" s="225">
        <f t="shared" ca="1" si="25"/>
        <v>0</v>
      </c>
      <c r="P76" s="225">
        <f t="shared" ca="1" si="25"/>
        <v>0</v>
      </c>
      <c r="Q76" s="225">
        <f t="shared" ca="1" si="25"/>
        <v>0</v>
      </c>
      <c r="R76" s="225">
        <f t="shared" ca="1" si="25"/>
        <v>0</v>
      </c>
      <c r="S76" s="225">
        <f t="shared" ca="1" si="25"/>
        <v>0</v>
      </c>
      <c r="T76" s="225">
        <f t="shared" ca="1" si="25"/>
        <v>0</v>
      </c>
      <c r="U76" s="225">
        <f t="shared" ca="1" si="25"/>
        <v>0</v>
      </c>
      <c r="V76" s="225">
        <f t="shared" ca="1" si="25"/>
        <v>0</v>
      </c>
      <c r="W76" s="225">
        <f t="shared" ca="1" si="25"/>
        <v>0</v>
      </c>
      <c r="X76" s="225">
        <f t="shared" ca="1" si="25"/>
        <v>0</v>
      </c>
      <c r="Y76" s="225">
        <f t="shared" ca="1" si="25"/>
        <v>0</v>
      </c>
      <c r="Z76" s="225">
        <f t="shared" ca="1" si="25"/>
        <v>0</v>
      </c>
      <c r="AA76" s="225">
        <f t="shared" ca="1" si="25"/>
        <v>0</v>
      </c>
      <c r="AB76" s="225">
        <f t="shared" ca="1" si="25"/>
        <v>0</v>
      </c>
      <c r="AC76" s="225">
        <f t="shared" ca="1" si="25"/>
        <v>0</v>
      </c>
      <c r="AD76" s="225">
        <f t="shared" ca="1" si="25"/>
        <v>0</v>
      </c>
      <c r="AE76" s="225">
        <f t="shared" ca="1" si="25"/>
        <v>0</v>
      </c>
      <c r="AF76" s="225">
        <f t="shared" ca="1" si="25"/>
        <v>0</v>
      </c>
      <c r="AG76" s="217" t="str">
        <f t="shared" si="24"/>
        <v>Total NS hours yesterday</v>
      </c>
      <c r="AH76" s="188"/>
      <c r="AI76" s="213"/>
      <c r="AJ76" s="214"/>
      <c r="AK76" s="209"/>
      <c r="AL76" s="209"/>
      <c r="AM76" s="230">
        <f ca="1">IF(EB.Anwendung&lt;&gt;"",IF(MONTH(Monat.Tag1)=12,0,IF(MONTH(Monat.Tag1)=1,February!Monat.NDgesternTag1,IF(MONTH(Monat.Tag1)=2,March!Monat.NDgesternTag1,IF(MONTH(Monat.Tag1)=3,April!Monat.NDgesternTag1,IF(MONTH(Monat.Tag1)=4,May!Monat.NDgesternTag1,IF(MONTH(Monat.Tag1)=5,June!Monat.NDgesternTag1,IF(MONTH(Monat.Tag1)=6,July!Monat.NDgesternTag1,IF(MONTH(Monat.Tag1)=7,August!Monat.NDgesternTag1,IF(MONTH(Monat.Tag1)=8,September!Monat.NDgesternTag1,IF(MONTH(Monat.Tag1)=9,October!Monat.NDgesternTag1,IF(MONTH(Monat.Tag1)=10,November!Monat.NDgesternTag1,IF(MONTH(Monat.Tag1)=11,December!Monat.NDgesternTag1,"")))))))))))),"")</f>
        <v>0</v>
      </c>
      <c r="AN76" s="208"/>
      <c r="AO76" s="209"/>
      <c r="AP76" s="209"/>
      <c r="AQ76" s="119"/>
    </row>
    <row r="77" spans="1:43" s="38" customFormat="1" ht="16.5" hidden="1" customHeight="1" outlineLevel="1" x14ac:dyDescent="0.2">
      <c r="A77" s="215" t="s">
        <v>254</v>
      </c>
      <c r="B77" s="216">
        <f t="shared" ref="B77:AF77" ca="1" si="26">B75+IF(B$10=EOMONTH(B$10,0),$AM76,C76)</f>
        <v>0</v>
      </c>
      <c r="C77" s="216">
        <f t="shared" ca="1" si="26"/>
        <v>0</v>
      </c>
      <c r="D77" s="216">
        <f t="shared" ca="1" si="26"/>
        <v>0</v>
      </c>
      <c r="E77" s="216">
        <f t="shared" ca="1" si="26"/>
        <v>0</v>
      </c>
      <c r="F77" s="216">
        <f t="shared" ca="1" si="26"/>
        <v>0</v>
      </c>
      <c r="G77" s="216">
        <f t="shared" ca="1" si="26"/>
        <v>0</v>
      </c>
      <c r="H77" s="216">
        <f t="shared" ca="1" si="26"/>
        <v>0</v>
      </c>
      <c r="I77" s="216">
        <f t="shared" ca="1" si="26"/>
        <v>0</v>
      </c>
      <c r="J77" s="216">
        <f t="shared" ca="1" si="26"/>
        <v>0</v>
      </c>
      <c r="K77" s="216">
        <f t="shared" ca="1" si="26"/>
        <v>0</v>
      </c>
      <c r="L77" s="216">
        <f t="shared" ca="1" si="26"/>
        <v>0</v>
      </c>
      <c r="M77" s="216">
        <f t="shared" ca="1" si="26"/>
        <v>0</v>
      </c>
      <c r="N77" s="216">
        <f t="shared" ca="1" si="26"/>
        <v>0</v>
      </c>
      <c r="O77" s="216">
        <f t="shared" ca="1" si="26"/>
        <v>0</v>
      </c>
      <c r="P77" s="216">
        <f t="shared" ca="1" si="26"/>
        <v>0</v>
      </c>
      <c r="Q77" s="216">
        <f t="shared" ca="1" si="26"/>
        <v>0</v>
      </c>
      <c r="R77" s="216">
        <f t="shared" ca="1" si="26"/>
        <v>0</v>
      </c>
      <c r="S77" s="216">
        <f t="shared" ca="1" si="26"/>
        <v>0</v>
      </c>
      <c r="T77" s="216">
        <f t="shared" ca="1" si="26"/>
        <v>0</v>
      </c>
      <c r="U77" s="216">
        <f t="shared" ca="1" si="26"/>
        <v>0</v>
      </c>
      <c r="V77" s="216">
        <f t="shared" ca="1" si="26"/>
        <v>0</v>
      </c>
      <c r="W77" s="216">
        <f t="shared" ca="1" si="26"/>
        <v>0</v>
      </c>
      <c r="X77" s="216">
        <f t="shared" ca="1" si="26"/>
        <v>0</v>
      </c>
      <c r="Y77" s="216">
        <f t="shared" ca="1" si="26"/>
        <v>0</v>
      </c>
      <c r="Z77" s="216">
        <f t="shared" ca="1" si="26"/>
        <v>0</v>
      </c>
      <c r="AA77" s="216">
        <f t="shared" ca="1" si="26"/>
        <v>0</v>
      </c>
      <c r="AB77" s="216">
        <f t="shared" ca="1" si="26"/>
        <v>0</v>
      </c>
      <c r="AC77" s="216">
        <f t="shared" ca="1" si="26"/>
        <v>0</v>
      </c>
      <c r="AD77" s="216">
        <f t="shared" ca="1" si="26"/>
        <v>0</v>
      </c>
      <c r="AE77" s="216">
        <f t="shared" ca="1" si="26"/>
        <v>0</v>
      </c>
      <c r="AF77" s="216">
        <f t="shared" ca="1" si="26"/>
        <v>0</v>
      </c>
      <c r="AG77" s="217" t="str">
        <f t="shared" si="24"/>
        <v>Total NS hours</v>
      </c>
      <c r="AH77" s="218"/>
      <c r="AI77" s="219">
        <f ca="1">SUM(B77:AF77)</f>
        <v>0</v>
      </c>
      <c r="AJ77" s="214"/>
      <c r="AK77" s="209"/>
      <c r="AL77" s="209"/>
      <c r="AM77" s="209"/>
      <c r="AN77" s="208"/>
      <c r="AO77" s="209"/>
      <c r="AP77" s="209"/>
      <c r="AQ77" s="119"/>
    </row>
    <row r="78" spans="1:43" s="38" customFormat="1" ht="3.75" hidden="1" customHeight="1" collapsed="1" x14ac:dyDescent="0.2">
      <c r="A78" s="220"/>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2"/>
      <c r="AG78" s="205"/>
      <c r="AH78" s="233"/>
      <c r="AI78" s="222"/>
      <c r="AJ78" s="214"/>
      <c r="AK78" s="209"/>
      <c r="AL78" s="209"/>
      <c r="AM78" s="209"/>
      <c r="AN78" s="208"/>
      <c r="AO78" s="209"/>
      <c r="AP78" s="209"/>
      <c r="AQ78" s="119"/>
    </row>
    <row r="79" spans="1:43" s="38" customFormat="1" ht="15" customHeight="1" outlineLevel="1" x14ac:dyDescent="0.2">
      <c r="A79" s="212" t="s">
        <v>200</v>
      </c>
      <c r="B79" s="280">
        <f t="shared" ref="B79:AF79" ca="1" si="27">IF(AND(T.50_Vetsuisse,B70&gt;24),ROUND(B73*T.50_VetsuisseZZSND*1440,0)/1440,
IF(AND(T.ServiceCenterIrchel,B69&gt;0,B77&gt;=ROUND(1/24*8*1440,0)/1440),ROUND(B77*T.ServiceCenterIrchelZZSND*1440,0)/1440,))</f>
        <v>0</v>
      </c>
      <c r="C79" s="280">
        <f t="shared" ca="1" si="27"/>
        <v>0</v>
      </c>
      <c r="D79" s="280">
        <f t="shared" ca="1" si="27"/>
        <v>0</v>
      </c>
      <c r="E79" s="280">
        <f t="shared" ca="1" si="27"/>
        <v>0</v>
      </c>
      <c r="F79" s="280">
        <f t="shared" ca="1" si="27"/>
        <v>0</v>
      </c>
      <c r="G79" s="280">
        <f t="shared" ca="1" si="27"/>
        <v>0</v>
      </c>
      <c r="H79" s="280">
        <f t="shared" ca="1" si="27"/>
        <v>0</v>
      </c>
      <c r="I79" s="280">
        <f t="shared" ca="1" si="27"/>
        <v>0</v>
      </c>
      <c r="J79" s="280">
        <f t="shared" ca="1" si="27"/>
        <v>0</v>
      </c>
      <c r="K79" s="280">
        <f t="shared" ca="1" si="27"/>
        <v>0</v>
      </c>
      <c r="L79" s="280">
        <f t="shared" ca="1" si="27"/>
        <v>0</v>
      </c>
      <c r="M79" s="280">
        <f t="shared" ca="1" si="27"/>
        <v>0</v>
      </c>
      <c r="N79" s="280">
        <f t="shared" ca="1" si="27"/>
        <v>0</v>
      </c>
      <c r="O79" s="280">
        <f t="shared" ca="1" si="27"/>
        <v>0</v>
      </c>
      <c r="P79" s="280">
        <f t="shared" ca="1" si="27"/>
        <v>0</v>
      </c>
      <c r="Q79" s="280">
        <f t="shared" ca="1" si="27"/>
        <v>0</v>
      </c>
      <c r="R79" s="280">
        <f t="shared" ca="1" si="27"/>
        <v>0</v>
      </c>
      <c r="S79" s="280">
        <f t="shared" ca="1" si="27"/>
        <v>0</v>
      </c>
      <c r="T79" s="280">
        <f t="shared" ca="1" si="27"/>
        <v>0</v>
      </c>
      <c r="U79" s="280">
        <f t="shared" ca="1" si="27"/>
        <v>0</v>
      </c>
      <c r="V79" s="280">
        <f t="shared" ca="1" si="27"/>
        <v>0</v>
      </c>
      <c r="W79" s="280">
        <f t="shared" ca="1" si="27"/>
        <v>0</v>
      </c>
      <c r="X79" s="280">
        <f t="shared" ca="1" si="27"/>
        <v>0</v>
      </c>
      <c r="Y79" s="280">
        <f t="shared" ca="1" si="27"/>
        <v>0</v>
      </c>
      <c r="Z79" s="280">
        <f t="shared" ca="1" si="27"/>
        <v>0</v>
      </c>
      <c r="AA79" s="280">
        <f t="shared" ca="1" si="27"/>
        <v>0</v>
      </c>
      <c r="AB79" s="280">
        <f t="shared" ca="1" si="27"/>
        <v>0</v>
      </c>
      <c r="AC79" s="280">
        <f t="shared" ca="1" si="27"/>
        <v>0</v>
      </c>
      <c r="AD79" s="280">
        <f t="shared" ca="1" si="27"/>
        <v>0</v>
      </c>
      <c r="AE79" s="280">
        <f t="shared" ca="1" si="27"/>
        <v>0</v>
      </c>
      <c r="AF79" s="280">
        <f t="shared" ca="1" si="27"/>
        <v>0</v>
      </c>
      <c r="AG79" s="205" t="str">
        <f t="shared" si="20"/>
        <v>Time supplement night shift</v>
      </c>
      <c r="AH79" s="274"/>
      <c r="AI79" s="238">
        <f t="shared" ref="AI79:AI80" ca="1" si="28">SUM(B79:AF79)</f>
        <v>0</v>
      </c>
      <c r="AJ79" s="261"/>
      <c r="AK79" s="224"/>
      <c r="AL79" s="245">
        <f ca="1">IF(EB.Anwendung&lt;&gt;"",IF(MONTH(Monat.Tag1)=1,EB.ZZNd,IF(MONTH(Monat.Tag1)=2,January!Monat.ZZNdUe,IF(MONTH(Monat.Tag1)=3,February!Monat.ZZNdUe,IF(MONTH(Monat.Tag1)=4,March!Monat.ZZNdUe,IF(MONTH(Monat.Tag1)=5,April!Monat.ZZNdUe,IF(MONTH(Monat.Tag1)=6,May!Monat.ZZNdUe,IF(MONTH(Monat.Tag1)=7,June!Monat.ZZNdUe,IF(MONTH(Monat.Tag1)=8,July!Monat.ZZNdUe,IF(MONTH(Monat.Tag1)=9,August!Monat.ZZNdUe,IF(MONTH(Monat.Tag1)=10,September!Monat.ZZNdUe,IF(MONTH(Monat.Tag1)=11,October!Monat.ZZNdUe,IF(MONTH(Monat.Tag1)=12,November!Monat.ZZNdUe,"")))))))))))),"")</f>
        <v>0</v>
      </c>
      <c r="AM79" s="209"/>
      <c r="AN79" s="246">
        <f ca="1">AI79+AL79-AI71</f>
        <v>0</v>
      </c>
      <c r="AO79" s="246">
        <f ca="1">OFFSET(Jahr.ZZSNDSaldo,-13+MONTH(Monat.Tag1),0,1,1)</f>
        <v>0</v>
      </c>
      <c r="AP79" s="246">
        <f ca="1">Jahr.ZZSNDSaldo</f>
        <v>0</v>
      </c>
      <c r="AQ79" s="119"/>
    </row>
    <row r="80" spans="1:43" s="38" customFormat="1" ht="15" customHeight="1" outlineLevel="1" x14ac:dyDescent="0.2">
      <c r="A80" s="212" t="s">
        <v>224</v>
      </c>
      <c r="B80" s="280" t="str">
        <f t="shared" ref="B80:AF80" si="29">IF(T.50_Vetsuisse,IF(OR(B$12=0,B$11=0,WEEKDAY(B$10,2)&gt;5),0,ROUND((MAX(0,T.Abendbis-MAX(B13,T.Abendab))-MAX(0,T.Abendbis-MAX(T.Abendab,B14))+(B13&gt;B14)*(1+T.Abendab-T.Abendbis)+MAX(0,T.Abendbis-MAX(B15,T.Abendab))-MAX(0,T.Abendbis-MAX(T.Abendab,B16))+(B15&gt;B16)*(1+T.Abendab-T.Abendbis)+MAX(0,T.Abendbis-MAX(B17,T.Abendab))-MAX(0,T.Abendbis-MAX(T.Abendab,B18))+(B17&gt;B18)*(1+T.Abendab-T.Abendbis)+MAX(0,T.Abendbis-MAX(B19,T.Abendab))-MAX(0,T.Abendbis-MAX(T.Abendab,B20))+(B19&gt;B20)*(1+T.Abendab-T.Abendbis)+MAX(0,T.Abendbis-MAX(B21,T.Abendab))-MAX(0,T.Abendbis-MAX(T.Abendab,B22))+(B21&gt;B22)*(1+T.Abendab-T.Abendbis))*1440,0)/1440),"")</f>
        <v/>
      </c>
      <c r="C80" s="280" t="str">
        <f t="shared" si="29"/>
        <v/>
      </c>
      <c r="D80" s="280" t="str">
        <f t="shared" si="29"/>
        <v/>
      </c>
      <c r="E80" s="280" t="str">
        <f t="shared" si="29"/>
        <v/>
      </c>
      <c r="F80" s="280" t="str">
        <f t="shared" si="29"/>
        <v/>
      </c>
      <c r="G80" s="280" t="str">
        <f t="shared" si="29"/>
        <v/>
      </c>
      <c r="H80" s="280" t="str">
        <f t="shared" si="29"/>
        <v/>
      </c>
      <c r="I80" s="280" t="str">
        <f t="shared" si="29"/>
        <v/>
      </c>
      <c r="J80" s="280" t="str">
        <f t="shared" si="29"/>
        <v/>
      </c>
      <c r="K80" s="280" t="str">
        <f t="shared" si="29"/>
        <v/>
      </c>
      <c r="L80" s="280" t="str">
        <f t="shared" si="29"/>
        <v/>
      </c>
      <c r="M80" s="280" t="str">
        <f t="shared" si="29"/>
        <v/>
      </c>
      <c r="N80" s="280" t="str">
        <f t="shared" si="29"/>
        <v/>
      </c>
      <c r="O80" s="280" t="str">
        <f t="shared" si="29"/>
        <v/>
      </c>
      <c r="P80" s="280" t="str">
        <f t="shared" si="29"/>
        <v/>
      </c>
      <c r="Q80" s="280" t="str">
        <f t="shared" si="29"/>
        <v/>
      </c>
      <c r="R80" s="280" t="str">
        <f t="shared" si="29"/>
        <v/>
      </c>
      <c r="S80" s="280" t="str">
        <f t="shared" si="29"/>
        <v/>
      </c>
      <c r="T80" s="280" t="str">
        <f t="shared" si="29"/>
        <v/>
      </c>
      <c r="U80" s="280" t="str">
        <f t="shared" si="29"/>
        <v/>
      </c>
      <c r="V80" s="280" t="str">
        <f t="shared" si="29"/>
        <v/>
      </c>
      <c r="W80" s="280" t="str">
        <f t="shared" si="29"/>
        <v/>
      </c>
      <c r="X80" s="280" t="str">
        <f t="shared" si="29"/>
        <v/>
      </c>
      <c r="Y80" s="280" t="str">
        <f t="shared" si="29"/>
        <v/>
      </c>
      <c r="Z80" s="280" t="str">
        <f t="shared" si="29"/>
        <v/>
      </c>
      <c r="AA80" s="280" t="str">
        <f t="shared" si="29"/>
        <v/>
      </c>
      <c r="AB80" s="280" t="str">
        <f t="shared" si="29"/>
        <v/>
      </c>
      <c r="AC80" s="280" t="str">
        <f t="shared" si="29"/>
        <v/>
      </c>
      <c r="AD80" s="280" t="str">
        <f t="shared" si="29"/>
        <v/>
      </c>
      <c r="AE80" s="280" t="str">
        <f t="shared" si="29"/>
        <v/>
      </c>
      <c r="AF80" s="280" t="str">
        <f t="shared" si="29"/>
        <v/>
      </c>
      <c r="AG80" s="205" t="str">
        <f t="shared" si="20"/>
        <v>Evening work</v>
      </c>
      <c r="AH80" s="274"/>
      <c r="AI80" s="238">
        <f t="shared" si="28"/>
        <v>0</v>
      </c>
      <c r="AJ80" s="261"/>
      <c r="AK80" s="224"/>
      <c r="AL80" s="245">
        <f ca="1">IF(EB.Anwendung&lt;&gt;"",IF(MONTH(Monat.Tag1)=1,0,IF(MONTH(Monat.Tag1)=2,January!Monat.AAUeVM,IF(MONTH(Monat.Tag1)=3,February!Monat.AAUeVM,IF(MONTH(Monat.Tag1)=4,March!Monat.AAUeVM,IF(MONTH(Monat.Tag1)=5,April!Monat.AAUeVM,IF(MONTH(Monat.Tag1)=6,May!Monat.AAUeVM,IF(MONTH(Monat.Tag1)=7,June!Monat.AAUeVM,IF(MONTH(Monat.Tag1)=8,July!Monat.AAUeVM,IF(MONTH(Monat.Tag1)=9,August!Monat.AAUeVM,IF(MONTH(Monat.Tag1)=10,September!Monat.AAUeVM,IF(MONTH(Monat.Tag1)=11,October!Monat.AAUeVM,IF(MONTH(Monat.Tag1)=12,November!Monat.AAUeVM,"")))))))))))),"")</f>
        <v>0</v>
      </c>
      <c r="AM80" s="209"/>
      <c r="AN80" s="246">
        <f ca="1">AI80+AL80</f>
        <v>0</v>
      </c>
      <c r="AO80" s="208"/>
      <c r="AP80" s="208"/>
      <c r="AQ80" s="119"/>
    </row>
    <row r="81" spans="1:43" s="38" customFormat="1" ht="15" customHeight="1" outlineLevel="1" x14ac:dyDescent="0.2">
      <c r="A81" s="212" t="s">
        <v>89</v>
      </c>
      <c r="B81" s="280">
        <f t="shared" ref="B81:AF81" ca="1" si="30">IF(EB.Wochenarbeitszeit=50/24,"",IF(B$12=0,0,IF(OR(WEEKDAY(B$10,2)&gt;5,B$11=0),IF(NOT(B$34=INDEX(T.Pikett.Bereich,1)),1,0),IF(WEEKDAY(B$10,2)&lt;6,IF(AND(OR(B$34=INDEX(T.Pikett.Bereich,2),B$34=INDEX(T.Pikett.Bereich,3)),B$11=1),8/24,0))+IF(WEEKDAY(B$10,2)&lt;6,IF(AND(OR(B$34=INDEX(T.Pikett.Bereich,2),B$34=INDEX(T.Pikett.Bereich,3)),B$11=6/8.4),10/24,0))
+IF(WEEKDAY(B$10,2)&lt;6,IF(AND(OR(B$34=INDEX(T.Pikett.Bereich,2),B$34=INDEX(T.Pikett.Bereich,3)),B$11=0.5),0.5,0))
+IF(AND(B$34=INDEX(T.Pikett.Bereich,4),B$11=6/8.4),0.75,0)+IF(AND(B$34=INDEX(T.Pikett.Bereich,4),B$11=1),16/24,0)
+IF(AND(B$34=INDEX(T.Pikett.Bereich,4),B$11=0.5),20/24,0))))</f>
        <v>0</v>
      </c>
      <c r="C81" s="280">
        <f t="shared" ca="1" si="30"/>
        <v>0</v>
      </c>
      <c r="D81" s="280">
        <f t="shared" ca="1" si="30"/>
        <v>0</v>
      </c>
      <c r="E81" s="280">
        <f t="shared" ca="1" si="30"/>
        <v>0</v>
      </c>
      <c r="F81" s="280">
        <f t="shared" ca="1" si="30"/>
        <v>0</v>
      </c>
      <c r="G81" s="280">
        <f t="shared" ca="1" si="30"/>
        <v>0</v>
      </c>
      <c r="H81" s="280">
        <f t="shared" ca="1" si="30"/>
        <v>0</v>
      </c>
      <c r="I81" s="280">
        <f t="shared" ca="1" si="30"/>
        <v>0</v>
      </c>
      <c r="J81" s="280">
        <f t="shared" ca="1" si="30"/>
        <v>0</v>
      </c>
      <c r="K81" s="280">
        <f t="shared" ca="1" si="30"/>
        <v>0</v>
      </c>
      <c r="L81" s="280">
        <f t="shared" ca="1" si="30"/>
        <v>0</v>
      </c>
      <c r="M81" s="280">
        <f t="shared" ca="1" si="30"/>
        <v>0</v>
      </c>
      <c r="N81" s="280">
        <f t="shared" ca="1" si="30"/>
        <v>0</v>
      </c>
      <c r="O81" s="280">
        <f t="shared" ca="1" si="30"/>
        <v>0</v>
      </c>
      <c r="P81" s="280">
        <f t="shared" ca="1" si="30"/>
        <v>0</v>
      </c>
      <c r="Q81" s="280">
        <f t="shared" ca="1" si="30"/>
        <v>0</v>
      </c>
      <c r="R81" s="280">
        <f t="shared" ca="1" si="30"/>
        <v>0</v>
      </c>
      <c r="S81" s="280">
        <f t="shared" ca="1" si="30"/>
        <v>0</v>
      </c>
      <c r="T81" s="280">
        <f t="shared" ca="1" si="30"/>
        <v>0</v>
      </c>
      <c r="U81" s="280">
        <f t="shared" ca="1" si="30"/>
        <v>0</v>
      </c>
      <c r="V81" s="280">
        <f t="shared" ca="1" si="30"/>
        <v>0</v>
      </c>
      <c r="W81" s="280">
        <f t="shared" ca="1" si="30"/>
        <v>0</v>
      </c>
      <c r="X81" s="280">
        <f t="shared" ca="1" si="30"/>
        <v>0</v>
      </c>
      <c r="Y81" s="280">
        <f t="shared" ca="1" si="30"/>
        <v>0</v>
      </c>
      <c r="Z81" s="280">
        <f t="shared" ca="1" si="30"/>
        <v>0</v>
      </c>
      <c r="AA81" s="280">
        <f t="shared" ca="1" si="30"/>
        <v>0</v>
      </c>
      <c r="AB81" s="280">
        <f t="shared" ca="1" si="30"/>
        <v>0</v>
      </c>
      <c r="AC81" s="280">
        <f t="shared" ca="1" si="30"/>
        <v>0</v>
      </c>
      <c r="AD81" s="280">
        <f t="shared" ca="1" si="30"/>
        <v>0</v>
      </c>
      <c r="AE81" s="280">
        <f t="shared" ca="1" si="30"/>
        <v>0</v>
      </c>
      <c r="AF81" s="280">
        <f t="shared" ca="1" si="30"/>
        <v>0</v>
      </c>
      <c r="AG81" s="205" t="str">
        <f t="shared" si="20"/>
        <v>On-call duty</v>
      </c>
      <c r="AH81" s="274"/>
      <c r="AI81" s="238">
        <f ca="1">SUM(B81:AF81)</f>
        <v>0</v>
      </c>
      <c r="AJ81" s="261"/>
      <c r="AK81" s="224"/>
      <c r="AL81" s="245">
        <f ca="1">IF(EB.Anwendung&lt;&gt;"",IF(MONTH(Monat.Tag1)=1,0,IF(MONTH(Monat.Tag1)=2,January!Monat.BDUeVM,IF(MONTH(Monat.Tag1)=3,February!Monat.BDUeVM,IF(MONTH(Monat.Tag1)=4,March!Monat.BDUeVM,IF(MONTH(Monat.Tag1)=5,April!Monat.BDUeVM,IF(MONTH(Monat.Tag1)=6,May!Monat.BDUeVM,IF(MONTH(Monat.Tag1)=7,June!Monat.BDUeVM,IF(MONTH(Monat.Tag1)=8,July!Monat.BDUeVM,IF(MONTH(Monat.Tag1)=9,August!Monat.BDUeVM,IF(MONTH(Monat.Tag1)=10,September!Monat.BDUeVM,IF(MONTH(Monat.Tag1)=11,October!Monat.BDUeVM,IF(MONTH(Monat.Tag1)=12,November!Monat.BDUeVM,"")))))))))))),"")</f>
        <v>0</v>
      </c>
      <c r="AM81" s="209"/>
      <c r="AN81" s="246">
        <f ca="1">AI81+AL81</f>
        <v>0</v>
      </c>
      <c r="AO81" s="208"/>
      <c r="AP81" s="208"/>
      <c r="AQ81" s="119"/>
    </row>
    <row r="82" spans="1:43" s="38" customFormat="1" ht="15" customHeight="1" outlineLevel="1" x14ac:dyDescent="0.2">
      <c r="A82" s="212" t="s">
        <v>90</v>
      </c>
      <c r="B82" s="280" t="str">
        <f t="shared" ref="B82:AF82" ca="1" si="31">IF(B$12=0,"",IF(OR(WEEKDAY(B$10,2)&gt;5,B$11=0),
IF(T.50_NoVetsuisse,B45,
IF(T.50_Vetsuisse,IF(B23-B73=0,"",B23-B73),
IF(T.ServiceCenterIrchel,B23,
B60))),))</f>
        <v/>
      </c>
      <c r="C82" s="280" t="str">
        <f t="shared" ca="1" si="31"/>
        <v/>
      </c>
      <c r="D82" s="281">
        <f t="shared" ca="1" si="31"/>
        <v>0</v>
      </c>
      <c r="E82" s="280" t="str">
        <f t="shared" ca="1" si="31"/>
        <v/>
      </c>
      <c r="F82" s="281" t="str">
        <f t="shared" ca="1" si="31"/>
        <v/>
      </c>
      <c r="G82" s="281">
        <f t="shared" ca="1" si="31"/>
        <v>0</v>
      </c>
      <c r="H82" s="281">
        <f t="shared" ca="1" si="31"/>
        <v>0</v>
      </c>
      <c r="I82" s="281">
        <f t="shared" ca="1" si="31"/>
        <v>0</v>
      </c>
      <c r="J82" s="280">
        <f t="shared" ca="1" si="31"/>
        <v>0</v>
      </c>
      <c r="K82" s="281">
        <f t="shared" ca="1" si="31"/>
        <v>0</v>
      </c>
      <c r="L82" s="280" t="str">
        <f t="shared" ca="1" si="31"/>
        <v/>
      </c>
      <c r="M82" s="281" t="str">
        <f t="shared" ca="1" si="31"/>
        <v/>
      </c>
      <c r="N82" s="281">
        <f t="shared" ca="1" si="31"/>
        <v>0</v>
      </c>
      <c r="O82" s="281">
        <f t="shared" ca="1" si="31"/>
        <v>0</v>
      </c>
      <c r="P82" s="281">
        <f t="shared" ca="1" si="31"/>
        <v>0</v>
      </c>
      <c r="Q82" s="280">
        <f t="shared" ca="1" si="31"/>
        <v>0</v>
      </c>
      <c r="R82" s="281">
        <f t="shared" ca="1" si="31"/>
        <v>0</v>
      </c>
      <c r="S82" s="280" t="str">
        <f t="shared" ca="1" si="31"/>
        <v/>
      </c>
      <c r="T82" s="280" t="str">
        <f t="shared" ca="1" si="31"/>
        <v/>
      </c>
      <c r="U82" s="281">
        <f t="shared" ca="1" si="31"/>
        <v>0</v>
      </c>
      <c r="V82" s="281">
        <f t="shared" ca="1" si="31"/>
        <v>0</v>
      </c>
      <c r="W82" s="281">
        <f t="shared" ca="1" si="31"/>
        <v>0</v>
      </c>
      <c r="X82" s="280">
        <f t="shared" ca="1" si="31"/>
        <v>0</v>
      </c>
      <c r="Y82" s="281">
        <f t="shared" ca="1" si="31"/>
        <v>0</v>
      </c>
      <c r="Z82" s="282" t="str">
        <f t="shared" ca="1" si="31"/>
        <v/>
      </c>
      <c r="AA82" s="281" t="str">
        <f t="shared" ca="1" si="31"/>
        <v/>
      </c>
      <c r="AB82" s="281">
        <f t="shared" ca="1" si="31"/>
        <v>0</v>
      </c>
      <c r="AC82" s="281">
        <f t="shared" ca="1" si="31"/>
        <v>0</v>
      </c>
      <c r="AD82" s="281">
        <f t="shared" ca="1" si="31"/>
        <v>0</v>
      </c>
      <c r="AE82" s="280">
        <f t="shared" ca="1" si="31"/>
        <v>0</v>
      </c>
      <c r="AF82" s="281">
        <f t="shared" ca="1" si="31"/>
        <v>0</v>
      </c>
      <c r="AG82" s="205" t="str">
        <f t="shared" si="20"/>
        <v>Saturday/Sunday shift</v>
      </c>
      <c r="AH82" s="228"/>
      <c r="AI82" s="238">
        <f ca="1">SUM(B82:AF82)</f>
        <v>0</v>
      </c>
      <c r="AJ82" s="229">
        <f ca="1">IFERROR(SUMPRODUCT((B82:AF82&gt;0)*(B82:AF82&lt;&gt;"")),0)</f>
        <v>0</v>
      </c>
      <c r="AK82" s="224"/>
      <c r="AL82" s="245">
        <f ca="1">IF(EB.Anwendung&lt;&gt;"",IF(MONTH(Monat.Tag1)=1,0,IF(MONTH(Monat.Tag1)=2,January!Monat.SDUeVM,IF(MONTH(Monat.Tag1)=3,February!Monat.SDUeVM,IF(MONTH(Monat.Tag1)=4,March!Monat.SDUeVM,IF(MONTH(Monat.Tag1)=5,April!Monat.SDUeVM,IF(MONTH(Monat.Tag1)=6,May!Monat.SDUeVM,IF(MONTH(Monat.Tag1)=7,June!Monat.SDUeVM,IF(MONTH(Monat.Tag1)=8,July!Monat.SDUeVM,IF(MONTH(Monat.Tag1)=9,August!Monat.SDUeVM,IF(MONTH(Monat.Tag1)=10,September!Monat.SDUeVM,IF(MONTH(Monat.Tag1)=11,October!Monat.SDUeVM,IF(MONTH(Monat.Tag1)=12,November!Monat.SDUeVM,"")))))))))))),"")</f>
        <v>0</v>
      </c>
      <c r="AM82" s="209"/>
      <c r="AN82" s="246">
        <f ca="1">AI82+AL82</f>
        <v>0</v>
      </c>
      <c r="AO82" s="208"/>
      <c r="AP82" s="208"/>
      <c r="AQ82" s="119"/>
    </row>
    <row r="83" spans="1:43" s="38" customFormat="1" ht="11.25" customHeight="1" outlineLevel="1" x14ac:dyDescent="0.2">
      <c r="A83" s="220"/>
      <c r="B83" s="226"/>
      <c r="C83" s="226"/>
      <c r="D83" s="226"/>
      <c r="E83" s="226"/>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7"/>
      <c r="AG83" s="205"/>
      <c r="AH83" s="228"/>
      <c r="AI83" s="224"/>
      <c r="AJ83" s="278"/>
      <c r="AK83" s="262"/>
      <c r="AL83" s="262"/>
      <c r="AM83" s="209"/>
      <c r="AN83" s="279"/>
      <c r="AO83" s="283"/>
      <c r="AP83" s="283"/>
      <c r="AQ83" s="119"/>
    </row>
    <row r="84" spans="1:43" s="38" customFormat="1" ht="15" customHeight="1" x14ac:dyDescent="0.2">
      <c r="A84" s="212" t="s">
        <v>80</v>
      </c>
      <c r="B84" s="40"/>
      <c r="C84" s="40"/>
      <c r="D84" s="40"/>
      <c r="E84" s="40"/>
      <c r="F84" s="40"/>
      <c r="G84" s="40"/>
      <c r="H84" s="40"/>
      <c r="I84" s="40"/>
      <c r="J84" s="40"/>
      <c r="K84" s="40"/>
      <c r="L84" s="40"/>
      <c r="M84" s="40"/>
      <c r="N84" s="40"/>
      <c r="O84" s="40"/>
      <c r="P84" s="40"/>
      <c r="Q84" s="40"/>
      <c r="R84" s="40"/>
      <c r="S84" s="40"/>
      <c r="T84" s="40"/>
      <c r="U84" s="40"/>
      <c r="V84" s="40"/>
      <c r="W84" s="40"/>
      <c r="X84" s="40"/>
      <c r="Y84" s="40"/>
      <c r="Z84" s="47"/>
      <c r="AA84" s="40"/>
      <c r="AB84" s="40"/>
      <c r="AC84" s="40"/>
      <c r="AD84" s="40"/>
      <c r="AE84" s="40"/>
      <c r="AF84" s="40"/>
      <c r="AG84" s="205" t="str">
        <f>A84 &amp; IFERROR(IF(AND(MONTH(Monat.Tag1)=6,EB.Jahr&gt;2020),IF(SUM(Jahresabrechnung!AC15:AC20)&lt;EB.FerienBer,IF(EB.Sprache="EN"," (Balance PY "," (Saldo VJ ") &amp; " &gt; 0!)",""),""),"")</f>
        <v>Vacation</v>
      </c>
      <c r="AH84" s="218"/>
      <c r="AI84" s="238">
        <f t="shared" ref="AI84:AI95" si="32">SUM(B84:AF84)</f>
        <v>0</v>
      </c>
      <c r="AJ84" s="261"/>
      <c r="AK84" s="245">
        <f ca="1">OFFSET(EB.MFAStd.Knoten,MONTH(Monat.Tag1),0,1,1)</f>
        <v>0</v>
      </c>
      <c r="AL84" s="245">
        <f ca="1">IF(EB.Anwendung&lt;&gt;"",IF(MONTH(Monat.Tag1)=1,EB.FerienBer,IF(MONTH(Monat.Tag1)=2,January!Monat.FerienUeVM,IF(MONTH(Monat.Tag1)=3,February!Monat.FerienUeVM,IF(MONTH(Monat.Tag1)=4,March!Monat.FerienUeVM,IF(MONTH(Monat.Tag1)=5,April!Monat.FerienUeVM,IF(MONTH(Monat.Tag1)=6,May!Monat.FerienUeVM,IF(MONTH(Monat.Tag1)=7,June!Monat.FerienUeVM,IF(MONTH(Monat.Tag1)=8,July!Monat.FerienUeVM,IF(MONTH(Monat.Tag1)=9,August!Monat.FerienUeVM,IF(MONTH(Monat.Tag1)=10,September!Monat.FerienUeVM,IF(MONTH(Monat.Tag1)=11,October!Monat.FerienUeVM,IF(MONTH(Monat.Tag1)=12,November!Monat.FerienUeVM,"")))))))))))),"")</f>
        <v>0</v>
      </c>
      <c r="AM84" s="209"/>
      <c r="AN84" s="246">
        <f ca="1">ROUND(IF(AH85="+",(AK84+AL84-Monat.Ferien.Total+AI85),(AK84+AL84-Monat.Ferien.Total-AI85))*1440,0)/1440</f>
        <v>0</v>
      </c>
      <c r="AO84" s="246">
        <f ca="1">SUM(Jahresabrechnung!AC12:AC13)-SUM(OFFSET(Jahresabrechnung!AC15,0,0,MONTH(Monat.Tag1),1))</f>
        <v>0</v>
      </c>
      <c r="AP84" s="246">
        <f ca="1">J.FerienUE.Total</f>
        <v>0</v>
      </c>
      <c r="AQ84" s="119"/>
    </row>
    <row r="85" spans="1:43" s="38" customFormat="1" ht="15" customHeight="1" x14ac:dyDescent="0.2">
      <c r="A85" s="220"/>
      <c r="B85" s="437">
        <f t="shared" ref="B85:AF85" ca="1" si="33">IF(DAY(B$10)=1,Monat.Ferien.JS+Monat.Ferien.Total-B84,A85-B84)</f>
        <v>0</v>
      </c>
      <c r="C85" s="437">
        <f t="shared" ca="1" si="33"/>
        <v>0</v>
      </c>
      <c r="D85" s="437">
        <f t="shared" ca="1" si="33"/>
        <v>0</v>
      </c>
      <c r="E85" s="437">
        <f t="shared" ca="1" si="33"/>
        <v>0</v>
      </c>
      <c r="F85" s="437">
        <f t="shared" ca="1" si="33"/>
        <v>0</v>
      </c>
      <c r="G85" s="437">
        <f t="shared" ca="1" si="33"/>
        <v>0</v>
      </c>
      <c r="H85" s="437">
        <f t="shared" ca="1" si="33"/>
        <v>0</v>
      </c>
      <c r="I85" s="437">
        <f t="shared" ca="1" si="33"/>
        <v>0</v>
      </c>
      <c r="J85" s="437">
        <f t="shared" ca="1" si="33"/>
        <v>0</v>
      </c>
      <c r="K85" s="437">
        <f t="shared" ca="1" si="33"/>
        <v>0</v>
      </c>
      <c r="L85" s="437">
        <f t="shared" ca="1" si="33"/>
        <v>0</v>
      </c>
      <c r="M85" s="437">
        <f t="shared" ca="1" si="33"/>
        <v>0</v>
      </c>
      <c r="N85" s="437">
        <f t="shared" ca="1" si="33"/>
        <v>0</v>
      </c>
      <c r="O85" s="437">
        <f t="shared" ca="1" si="33"/>
        <v>0</v>
      </c>
      <c r="P85" s="437">
        <f t="shared" ca="1" si="33"/>
        <v>0</v>
      </c>
      <c r="Q85" s="437">
        <f t="shared" ca="1" si="33"/>
        <v>0</v>
      </c>
      <c r="R85" s="437">
        <f t="shared" ca="1" si="33"/>
        <v>0</v>
      </c>
      <c r="S85" s="437">
        <f t="shared" ca="1" si="33"/>
        <v>0</v>
      </c>
      <c r="T85" s="437">
        <f t="shared" ca="1" si="33"/>
        <v>0</v>
      </c>
      <c r="U85" s="437">
        <f t="shared" ca="1" si="33"/>
        <v>0</v>
      </c>
      <c r="V85" s="437">
        <f t="shared" ca="1" si="33"/>
        <v>0</v>
      </c>
      <c r="W85" s="437">
        <f t="shared" ca="1" si="33"/>
        <v>0</v>
      </c>
      <c r="X85" s="437">
        <f t="shared" ca="1" si="33"/>
        <v>0</v>
      </c>
      <c r="Y85" s="437">
        <f t="shared" ca="1" si="33"/>
        <v>0</v>
      </c>
      <c r="Z85" s="437">
        <f t="shared" ca="1" si="33"/>
        <v>0</v>
      </c>
      <c r="AA85" s="437">
        <f t="shared" ca="1" si="33"/>
        <v>0</v>
      </c>
      <c r="AB85" s="437">
        <f t="shared" ca="1" si="33"/>
        <v>0</v>
      </c>
      <c r="AC85" s="437">
        <f t="shared" ca="1" si="33"/>
        <v>0</v>
      </c>
      <c r="AD85" s="437">
        <f t="shared" ca="1" si="33"/>
        <v>0</v>
      </c>
      <c r="AE85" s="437">
        <f t="shared" ca="1" si="33"/>
        <v>0</v>
      </c>
      <c r="AF85" s="438">
        <f t="shared" ca="1" si="33"/>
        <v>0</v>
      </c>
      <c r="AG85" s="212" t="s">
        <v>92</v>
      </c>
      <c r="AH85" s="45" t="s">
        <v>2</v>
      </c>
      <c r="AI85" s="48"/>
      <c r="AJ85" s="270"/>
      <c r="AK85" s="209"/>
      <c r="AL85" s="209"/>
      <c r="AM85" s="209"/>
      <c r="AN85" s="208"/>
      <c r="AO85" s="284"/>
      <c r="AP85" s="284"/>
      <c r="AQ85" s="119"/>
    </row>
    <row r="86" spans="1:43" s="38" customFormat="1" ht="15" customHeight="1" x14ac:dyDescent="0.2">
      <c r="A86" s="212" t="s">
        <v>81</v>
      </c>
      <c r="B86" s="40"/>
      <c r="C86" s="40"/>
      <c r="D86" s="40"/>
      <c r="E86" s="27"/>
      <c r="F86" s="40"/>
      <c r="G86" s="40"/>
      <c r="H86" s="40"/>
      <c r="I86" s="40"/>
      <c r="J86" s="27"/>
      <c r="K86" s="40"/>
      <c r="L86" s="27"/>
      <c r="M86" s="40"/>
      <c r="N86" s="40"/>
      <c r="O86" s="40"/>
      <c r="P86" s="40"/>
      <c r="Q86" s="27"/>
      <c r="R86" s="40"/>
      <c r="S86" s="27"/>
      <c r="T86" s="27"/>
      <c r="U86" s="40"/>
      <c r="V86" s="40"/>
      <c r="W86" s="40"/>
      <c r="X86" s="27"/>
      <c r="Y86" s="40"/>
      <c r="Z86" s="39"/>
      <c r="AA86" s="40"/>
      <c r="AB86" s="40"/>
      <c r="AC86" s="40"/>
      <c r="AD86" s="40"/>
      <c r="AE86" s="27"/>
      <c r="AF86" s="40"/>
      <c r="AG86" s="205" t="str">
        <f t="shared" ref="AG86:AG112" si="34">A86</f>
        <v>Consultation</v>
      </c>
      <c r="AH86" s="218"/>
      <c r="AI86" s="238">
        <f t="shared" si="32"/>
        <v>0</v>
      </c>
      <c r="AJ86" s="261"/>
      <c r="AK86" s="262"/>
      <c r="AL86" s="245">
        <f ca="1">IF(EB.Anwendung&lt;&gt;"",IF(MONTH(Monat.Tag1)=1,0,IF(MONTH(Monat.Tag1)=2,January!Monat.ArztUeVM,IF(MONTH(Monat.Tag1)=3,February!Monat.ArztUeVM,IF(MONTH(Monat.Tag1)=4,March!Monat.ArztUeVM,IF(MONTH(Monat.Tag1)=5,April!Monat.ArztUeVM,IF(MONTH(Monat.Tag1)=6,May!Monat.ArztUeVM,IF(MONTH(Monat.Tag1)=7,June!Monat.ArztUeVM,IF(MONTH(Monat.Tag1)=8,July!Monat.ArztUeVM,IF(MONTH(Monat.Tag1)=9,August!Monat.ArztUeVM,IF(MONTH(Monat.Tag1)=10,September!Monat.ArztUeVM,IF(MONTH(Monat.Tag1)=11,October!Monat.ArztUeVM,IF(MONTH(Monat.Tag1)=12,November!Monat.ArztUeVM,"")))))))))))),"")</f>
        <v>0</v>
      </c>
      <c r="AM86" s="209"/>
      <c r="AN86" s="246">
        <f t="shared" ref="AN86:AN94" ca="1" si="35">AI86+AL86</f>
        <v>0</v>
      </c>
      <c r="AO86" s="208"/>
      <c r="AP86" s="208"/>
      <c r="AQ86" s="119"/>
    </row>
    <row r="87" spans="1:43" s="38" customFormat="1" ht="15" customHeight="1" x14ac:dyDescent="0.2">
      <c r="A87" s="212" t="s">
        <v>82</v>
      </c>
      <c r="B87" s="40"/>
      <c r="C87" s="40"/>
      <c r="D87" s="40"/>
      <c r="E87" s="27"/>
      <c r="F87" s="40"/>
      <c r="G87" s="40"/>
      <c r="H87" s="40"/>
      <c r="I87" s="40"/>
      <c r="J87" s="27"/>
      <c r="K87" s="40"/>
      <c r="L87" s="27"/>
      <c r="M87" s="40"/>
      <c r="N87" s="40"/>
      <c r="O87" s="40"/>
      <c r="P87" s="40"/>
      <c r="Q87" s="27"/>
      <c r="R87" s="40"/>
      <c r="S87" s="27"/>
      <c r="T87" s="27"/>
      <c r="U87" s="40"/>
      <c r="V87" s="40"/>
      <c r="W87" s="40"/>
      <c r="X87" s="27"/>
      <c r="Y87" s="40"/>
      <c r="Z87" s="39"/>
      <c r="AA87" s="40"/>
      <c r="AB87" s="40"/>
      <c r="AC87" s="40"/>
      <c r="AD87" s="40"/>
      <c r="AE87" s="27"/>
      <c r="AF87" s="40"/>
      <c r="AG87" s="205" t="str">
        <f t="shared" si="34"/>
        <v>Illness</v>
      </c>
      <c r="AH87" s="218"/>
      <c r="AI87" s="238">
        <f t="shared" si="32"/>
        <v>0</v>
      </c>
      <c r="AJ87" s="261"/>
      <c r="AK87" s="262"/>
      <c r="AL87" s="245">
        <f ca="1">IF(EB.Anwendung&lt;&gt;"",IF(MONTH(Monat.Tag1)=1,0,IF(MONTH(Monat.Tag1)=2,January!Monat.KrankUeVM,IF(MONTH(Monat.Tag1)=3,February!Monat.KrankUeVM,IF(MONTH(Monat.Tag1)=4,March!Monat.KrankUeVM,IF(MONTH(Monat.Tag1)=5,April!Monat.KrankUeVM,IF(MONTH(Monat.Tag1)=6,May!Monat.KrankUeVM,IF(MONTH(Monat.Tag1)=7,June!Monat.KrankUeVM,IF(MONTH(Monat.Tag1)=8,July!Monat.KrankUeVM,IF(MONTH(Monat.Tag1)=9,August!Monat.KrankUeVM,IF(MONTH(Monat.Tag1)=10,September!Monat.KrankUeVM,IF(MONTH(Monat.Tag1)=11,October!Monat.KrankUeVM,IF(MONTH(Monat.Tag1)=12,November!Monat.KrankUeVM,"")))))))))))),"")</f>
        <v>0</v>
      </c>
      <c r="AM87" s="209"/>
      <c r="AN87" s="246">
        <f t="shared" ca="1" si="35"/>
        <v>0</v>
      </c>
      <c r="AO87" s="208"/>
      <c r="AP87" s="208"/>
      <c r="AQ87" s="119"/>
    </row>
    <row r="88" spans="1:43" s="38" customFormat="1" ht="15" customHeight="1" x14ac:dyDescent="0.2">
      <c r="A88" s="212" t="s">
        <v>83</v>
      </c>
      <c r="B88" s="40"/>
      <c r="C88" s="40"/>
      <c r="D88" s="40"/>
      <c r="E88" s="27"/>
      <c r="F88" s="40"/>
      <c r="G88" s="40"/>
      <c r="H88" s="40"/>
      <c r="I88" s="40"/>
      <c r="J88" s="27"/>
      <c r="K88" s="40"/>
      <c r="L88" s="27"/>
      <c r="M88" s="40"/>
      <c r="N88" s="40"/>
      <c r="O88" s="40"/>
      <c r="P88" s="40"/>
      <c r="Q88" s="27"/>
      <c r="R88" s="40"/>
      <c r="S88" s="27"/>
      <c r="T88" s="27"/>
      <c r="U88" s="40"/>
      <c r="V88" s="40"/>
      <c r="W88" s="40"/>
      <c r="X88" s="27"/>
      <c r="Y88" s="40"/>
      <c r="Z88" s="39"/>
      <c r="AA88" s="40"/>
      <c r="AB88" s="40"/>
      <c r="AC88" s="40"/>
      <c r="AD88" s="40"/>
      <c r="AE88" s="27"/>
      <c r="AF88" s="40"/>
      <c r="AG88" s="205" t="str">
        <f t="shared" si="34"/>
        <v>Work-related accident</v>
      </c>
      <c r="AH88" s="218"/>
      <c r="AI88" s="238">
        <f t="shared" si="32"/>
        <v>0</v>
      </c>
      <c r="AJ88" s="261"/>
      <c r="AK88" s="262"/>
      <c r="AL88" s="245">
        <f ca="1">IF(EB.Anwendung&lt;&gt;"",IF(MONTH(Monat.Tag1)=1,0,IF(MONTH(Monat.Tag1)=2,January!Monat.BUUeVM,IF(MONTH(Monat.Tag1)=3,February!Monat.BUUeVM,IF(MONTH(Monat.Tag1)=4,March!Monat.BUUeVM,IF(MONTH(Monat.Tag1)=5,April!Monat.BUUeVM,IF(MONTH(Monat.Tag1)=6,May!Monat.BUUeVM,IF(MONTH(Monat.Tag1)=7,June!Monat.BUUeVM,IF(MONTH(Monat.Tag1)=8,July!Monat.BUUeVM,IF(MONTH(Monat.Tag1)=9,August!Monat.BUUeVM,IF(MONTH(Monat.Tag1)=10,September!Monat.BUUeVM,IF(MONTH(Monat.Tag1)=11,October!Monat.BUUeVM,IF(MONTH(Monat.Tag1)=12,November!Monat.BUUeVM,"")))))))))))),"")</f>
        <v>0</v>
      </c>
      <c r="AM88" s="209"/>
      <c r="AN88" s="246">
        <f t="shared" ca="1" si="35"/>
        <v>0</v>
      </c>
      <c r="AO88" s="208"/>
      <c r="AP88" s="208"/>
      <c r="AQ88" s="119"/>
    </row>
    <row r="89" spans="1:43" s="38" customFormat="1" ht="15" customHeight="1" x14ac:dyDescent="0.2">
      <c r="A89" s="212" t="s">
        <v>240</v>
      </c>
      <c r="B89" s="40"/>
      <c r="C89" s="40"/>
      <c r="D89" s="40"/>
      <c r="E89" s="27"/>
      <c r="F89" s="40"/>
      <c r="G89" s="40"/>
      <c r="H89" s="40"/>
      <c r="I89" s="40"/>
      <c r="J89" s="27"/>
      <c r="K89" s="40"/>
      <c r="L89" s="27"/>
      <c r="M89" s="40"/>
      <c r="N89" s="40"/>
      <c r="O89" s="40"/>
      <c r="P89" s="40"/>
      <c r="Q89" s="27"/>
      <c r="R89" s="40"/>
      <c r="S89" s="27"/>
      <c r="T89" s="27"/>
      <c r="U89" s="40"/>
      <c r="V89" s="40"/>
      <c r="W89" s="40"/>
      <c r="X89" s="27"/>
      <c r="Y89" s="40"/>
      <c r="Z89" s="39"/>
      <c r="AA89" s="40"/>
      <c r="AB89" s="40"/>
      <c r="AC89" s="40"/>
      <c r="AD89" s="40"/>
      <c r="AE89" s="27"/>
      <c r="AF89" s="40"/>
      <c r="AG89" s="205" t="str">
        <f t="shared" si="34"/>
        <v>Non-work-related accident</v>
      </c>
      <c r="AH89" s="218"/>
      <c r="AI89" s="238">
        <f t="shared" si="32"/>
        <v>0</v>
      </c>
      <c r="AJ89" s="261"/>
      <c r="AK89" s="262"/>
      <c r="AL89" s="245">
        <f ca="1">IF(EB.Anwendung&lt;&gt;"",IF(MONTH(Monat.Tag1)=1,0,IF(MONTH(Monat.Tag1)=2,January!Monat.NBUUeVM,IF(MONTH(Monat.Tag1)=3,February!Monat.NBUUeVM,IF(MONTH(Monat.Tag1)=4,March!Monat.NBUUeVM,IF(MONTH(Monat.Tag1)=5,April!Monat.NBUUeVM,IF(MONTH(Monat.Tag1)=6,May!Monat.NBUUeVM,IF(MONTH(Monat.Tag1)=7,June!Monat.NBUUeVM,IF(MONTH(Monat.Tag1)=8,July!Monat.NBUUeVM,IF(MONTH(Monat.Tag1)=9,August!Monat.NBUUeVM,IF(MONTH(Monat.Tag1)=10,September!Monat.NBUUeVM,IF(MONTH(Monat.Tag1)=11,October!Monat.NBUUeVM,IF(MONTH(Monat.Tag1)=12,November!Monat.NBUUeVM,"")))))))))))),"")</f>
        <v>0</v>
      </c>
      <c r="AM89" s="209"/>
      <c r="AN89" s="246">
        <f t="shared" ca="1" si="35"/>
        <v>0</v>
      </c>
      <c r="AO89" s="208"/>
      <c r="AP89" s="208"/>
      <c r="AQ89" s="119"/>
    </row>
    <row r="90" spans="1:43" s="38" customFormat="1" ht="15" customHeight="1" x14ac:dyDescent="0.2">
      <c r="A90" s="212" t="s">
        <v>84</v>
      </c>
      <c r="B90" s="40"/>
      <c r="C90" s="40"/>
      <c r="D90" s="40"/>
      <c r="E90" s="27"/>
      <c r="F90" s="40"/>
      <c r="G90" s="40"/>
      <c r="H90" s="40"/>
      <c r="I90" s="40"/>
      <c r="J90" s="27"/>
      <c r="K90" s="40"/>
      <c r="L90" s="27"/>
      <c r="M90" s="40"/>
      <c r="N90" s="40"/>
      <c r="O90" s="40"/>
      <c r="P90" s="40"/>
      <c r="Q90" s="27"/>
      <c r="R90" s="40"/>
      <c r="S90" s="27"/>
      <c r="T90" s="27"/>
      <c r="U90" s="40"/>
      <c r="V90" s="40"/>
      <c r="W90" s="40"/>
      <c r="X90" s="27"/>
      <c r="Y90" s="40"/>
      <c r="Z90" s="39"/>
      <c r="AA90" s="40"/>
      <c r="AB90" s="40"/>
      <c r="AC90" s="40"/>
      <c r="AD90" s="40"/>
      <c r="AE90" s="27"/>
      <c r="AF90" s="40"/>
      <c r="AG90" s="205" t="str">
        <f t="shared" si="34"/>
        <v>Military/civilian service</v>
      </c>
      <c r="AH90" s="218"/>
      <c r="AI90" s="238">
        <f t="shared" si="32"/>
        <v>0</v>
      </c>
      <c r="AJ90" s="261"/>
      <c r="AK90" s="262"/>
      <c r="AL90" s="245">
        <f ca="1">IF(EB.Anwendung&lt;&gt;"",IF(MONTH(Monat.Tag1)=1,0,IF(MONTH(Monat.Tag1)=2,January!Monat.MZSUeVM,IF(MONTH(Monat.Tag1)=3,February!Monat.MZSUeVM,IF(MONTH(Monat.Tag1)=4,March!Monat.MZSUeVM,IF(MONTH(Monat.Tag1)=5,April!Monat.MZSUeVM,IF(MONTH(Monat.Tag1)=6,May!Monat.MZSUeVM,IF(MONTH(Monat.Tag1)=7,June!Monat.MZSUeVM,IF(MONTH(Monat.Tag1)=8,July!Monat.MZSUeVM,IF(MONTH(Monat.Tag1)=9,August!Monat.MZSUeVM,IF(MONTH(Monat.Tag1)=10,September!Monat.MZSUeVM,IF(MONTH(Monat.Tag1)=11,October!Monat.MZSUeVM,IF(MONTH(Monat.Tag1)=12,November!Monat.MZSUeVM,"")))))))))))),"")</f>
        <v>0</v>
      </c>
      <c r="AM90" s="209"/>
      <c r="AN90" s="246">
        <f t="shared" ca="1" si="35"/>
        <v>0</v>
      </c>
      <c r="AO90" s="208"/>
      <c r="AP90" s="208"/>
      <c r="AQ90" s="119"/>
    </row>
    <row r="91" spans="1:43" s="38" customFormat="1" ht="15" customHeight="1" x14ac:dyDescent="0.2">
      <c r="A91" s="212" t="s">
        <v>85</v>
      </c>
      <c r="B91" s="40"/>
      <c r="C91" s="40"/>
      <c r="D91" s="40"/>
      <c r="E91" s="27"/>
      <c r="F91" s="40"/>
      <c r="G91" s="40"/>
      <c r="H91" s="40"/>
      <c r="I91" s="40"/>
      <c r="J91" s="27"/>
      <c r="K91" s="40"/>
      <c r="L91" s="27"/>
      <c r="M91" s="40"/>
      <c r="N91" s="40"/>
      <c r="O91" s="40"/>
      <c r="P91" s="40"/>
      <c r="Q91" s="27"/>
      <c r="R91" s="40"/>
      <c r="S91" s="27"/>
      <c r="T91" s="27"/>
      <c r="U91" s="40"/>
      <c r="V91" s="40"/>
      <c r="W91" s="40"/>
      <c r="X91" s="27"/>
      <c r="Y91" s="40"/>
      <c r="Z91" s="39"/>
      <c r="AA91" s="40"/>
      <c r="AB91" s="40"/>
      <c r="AC91" s="40"/>
      <c r="AD91" s="40"/>
      <c r="AE91" s="27"/>
      <c r="AF91" s="40"/>
      <c r="AG91" s="205" t="str">
        <f t="shared" si="34"/>
        <v>Continuing education</v>
      </c>
      <c r="AH91" s="218"/>
      <c r="AI91" s="238">
        <f t="shared" si="32"/>
        <v>0</v>
      </c>
      <c r="AJ91" s="261"/>
      <c r="AK91" s="262"/>
      <c r="AL91" s="245">
        <f ca="1">IF(EB.Anwendung&lt;&gt;"",IF(MONTH(Monat.Tag1)=1,0,IF(MONTH(Monat.Tag1)=2,January!Monat.WBUeVM,IF(MONTH(Monat.Tag1)=3,February!Monat.WBUeVM,IF(MONTH(Monat.Tag1)=4,March!Monat.WBUeVM,IF(MONTH(Monat.Tag1)=5,April!Monat.WBUeVM,IF(MONTH(Monat.Tag1)=6,May!Monat.WBUeVM,IF(MONTH(Monat.Tag1)=7,June!Monat.WBUeVM,IF(MONTH(Monat.Tag1)=8,July!Monat.WBUeVM,IF(MONTH(Monat.Tag1)=9,August!Monat.WBUeVM,IF(MONTH(Monat.Tag1)=10,September!Monat.WBUeVM,IF(MONTH(Monat.Tag1)=11,October!Monat.WBUeVM,IF(MONTH(Monat.Tag1)=12,November!Monat.WBUeVM,"")))))))))))),"")</f>
        <v>0</v>
      </c>
      <c r="AM91" s="209"/>
      <c r="AN91" s="246">
        <f t="shared" ca="1" si="35"/>
        <v>0</v>
      </c>
      <c r="AO91" s="208"/>
      <c r="AP91" s="208"/>
      <c r="AQ91" s="119"/>
    </row>
    <row r="92" spans="1:43" s="38" customFormat="1" ht="15" customHeight="1" x14ac:dyDescent="0.2">
      <c r="A92" s="212" t="s">
        <v>86</v>
      </c>
      <c r="B92" s="40"/>
      <c r="C92" s="40"/>
      <c r="D92" s="40"/>
      <c r="E92" s="27"/>
      <c r="F92" s="40"/>
      <c r="G92" s="40"/>
      <c r="H92" s="40"/>
      <c r="I92" s="40"/>
      <c r="J92" s="27"/>
      <c r="K92" s="40"/>
      <c r="L92" s="27"/>
      <c r="M92" s="40"/>
      <c r="N92" s="40"/>
      <c r="O92" s="40"/>
      <c r="P92" s="40"/>
      <c r="Q92" s="27"/>
      <c r="R92" s="40"/>
      <c r="S92" s="27"/>
      <c r="T92" s="27"/>
      <c r="U92" s="40"/>
      <c r="V92" s="40"/>
      <c r="W92" s="40"/>
      <c r="X92" s="27"/>
      <c r="Y92" s="40"/>
      <c r="Z92" s="39"/>
      <c r="AA92" s="40"/>
      <c r="AB92" s="40"/>
      <c r="AC92" s="40"/>
      <c r="AD92" s="40"/>
      <c r="AE92" s="27"/>
      <c r="AF92" s="40"/>
      <c r="AG92" s="205" t="str">
        <f t="shared" si="34"/>
        <v>Paid leave</v>
      </c>
      <c r="AH92" s="218"/>
      <c r="AI92" s="238">
        <f t="shared" si="32"/>
        <v>0</v>
      </c>
      <c r="AJ92" s="261"/>
      <c r="AK92" s="262"/>
      <c r="AL92" s="245">
        <f ca="1">IF(EB.Anwendung&lt;&gt;"",IF(MONTH(Monat.Tag1)=1,0,IF(MONTH(Monat.Tag1)=2,January!Monat.BesUrlaubUeVM,IF(MONTH(Monat.Tag1)=3,February!Monat.BesUrlaubUeVM,IF(MONTH(Monat.Tag1)=4,March!Monat.BesUrlaubUeVM,IF(MONTH(Monat.Tag1)=5,April!Monat.BesUrlaubUeVM,IF(MONTH(Monat.Tag1)=6,May!Monat.BesUrlaubUeVM,IF(MONTH(Monat.Tag1)=7,June!Monat.BesUrlaubUeVM,IF(MONTH(Monat.Tag1)=8,July!Monat.BesUrlaubUeVM,IF(MONTH(Monat.Tag1)=9,August!Monat.BesUrlaubUeVM,IF(MONTH(Monat.Tag1)=10,September!Monat.BesUrlaubUeVM,IF(MONTH(Monat.Tag1)=11,October!Monat.BesUrlaubUeVM,IF(MONTH(Monat.Tag1)=12,November!Monat.BesUrlaubUeVM,"")))))))))))),"")</f>
        <v>0</v>
      </c>
      <c r="AM92" s="209"/>
      <c r="AN92" s="246">
        <f t="shared" ca="1" si="35"/>
        <v>0</v>
      </c>
      <c r="AO92" s="208"/>
      <c r="AP92" s="208"/>
      <c r="AQ92" s="119"/>
    </row>
    <row r="93" spans="1:43" s="38" customFormat="1" ht="15" customHeight="1" x14ac:dyDescent="0.2">
      <c r="A93" s="212" t="s">
        <v>87</v>
      </c>
      <c r="B93" s="40"/>
      <c r="C93" s="40"/>
      <c r="D93" s="40"/>
      <c r="E93" s="27"/>
      <c r="F93" s="40"/>
      <c r="G93" s="40"/>
      <c r="H93" s="40"/>
      <c r="I93" s="40"/>
      <c r="J93" s="27"/>
      <c r="K93" s="40"/>
      <c r="L93" s="27"/>
      <c r="M93" s="40"/>
      <c r="N93" s="40"/>
      <c r="O93" s="40"/>
      <c r="P93" s="40"/>
      <c r="Q93" s="27"/>
      <c r="R93" s="40"/>
      <c r="S93" s="27"/>
      <c r="T93" s="27"/>
      <c r="U93" s="40"/>
      <c r="V93" s="40"/>
      <c r="W93" s="40"/>
      <c r="X93" s="27"/>
      <c r="Y93" s="40"/>
      <c r="Z93" s="39"/>
      <c r="AA93" s="40"/>
      <c r="AB93" s="40"/>
      <c r="AC93" s="40"/>
      <c r="AD93" s="40"/>
      <c r="AE93" s="27"/>
      <c r="AF93" s="40"/>
      <c r="AG93" s="205" t="str">
        <f t="shared" si="34"/>
        <v>Unpaid leave</v>
      </c>
      <c r="AH93" s="218"/>
      <c r="AI93" s="238">
        <f t="shared" si="32"/>
        <v>0</v>
      </c>
      <c r="AJ93" s="261"/>
      <c r="AK93" s="262"/>
      <c r="AL93" s="245">
        <f ca="1">IF(EB.Anwendung&lt;&gt;"",IF(MONTH(Monat.Tag1)=1,0,IF(MONTH(Monat.Tag1)=2,January!Monat.UnbesUrlaubUeVM,IF(MONTH(Monat.Tag1)=3,February!Monat.UnbesUrlaubUeVM,IF(MONTH(Monat.Tag1)=4,March!Monat.UnbesUrlaubUeVM,IF(MONTH(Monat.Tag1)=5,April!Monat.UnbesUrlaubUeVM,IF(MONTH(Monat.Tag1)=6,May!Monat.UnbesUrlaubUeVM,IF(MONTH(Monat.Tag1)=7,June!Monat.UnbesUrlaubUeVM,IF(MONTH(Monat.Tag1)=8,July!Monat.UnbesUrlaubUeVM,IF(MONTH(Monat.Tag1)=9,August!Monat.UnbesUrlaubUeVM,IF(MONTH(Monat.Tag1)=10,September!Monat.UnbesUrlaubUeVM,IF(MONTH(Monat.Tag1)=11,October!Monat.UnbesUrlaubUeVM,IF(MONTH(Monat.Tag1)=12,November!Monat.UnbesUrlaubUeVM,"")))))))))))),"")</f>
        <v>0</v>
      </c>
      <c r="AM93" s="209"/>
      <c r="AN93" s="246">
        <f t="shared" ca="1" si="35"/>
        <v>0</v>
      </c>
      <c r="AO93" s="208"/>
      <c r="AP93" s="208"/>
      <c r="AQ93" s="119"/>
    </row>
    <row r="94" spans="1:43" s="38" customFormat="1" ht="15" hidden="1" customHeight="1" outlineLevel="1" x14ac:dyDescent="0.2">
      <c r="A94" s="212" t="s">
        <v>120</v>
      </c>
      <c r="B94" s="40"/>
      <c r="C94" s="40"/>
      <c r="D94" s="40"/>
      <c r="E94" s="27"/>
      <c r="F94" s="40"/>
      <c r="G94" s="40"/>
      <c r="H94" s="40"/>
      <c r="I94" s="40"/>
      <c r="J94" s="27"/>
      <c r="K94" s="40"/>
      <c r="L94" s="27"/>
      <c r="M94" s="40"/>
      <c r="N94" s="40"/>
      <c r="O94" s="40"/>
      <c r="P94" s="40"/>
      <c r="Q94" s="27"/>
      <c r="R94" s="40"/>
      <c r="S94" s="27"/>
      <c r="T94" s="27"/>
      <c r="U94" s="40"/>
      <c r="V94" s="40"/>
      <c r="W94" s="40"/>
      <c r="X94" s="27"/>
      <c r="Y94" s="40"/>
      <c r="Z94" s="39"/>
      <c r="AA94" s="40"/>
      <c r="AB94" s="40"/>
      <c r="AC94" s="40"/>
      <c r="AD94" s="40"/>
      <c r="AE94" s="27"/>
      <c r="AF94" s="40"/>
      <c r="AG94" s="205" t="str">
        <f t="shared" si="34"/>
        <v>Secondary employment</v>
      </c>
      <c r="AH94" s="218"/>
      <c r="AI94" s="238">
        <f t="shared" si="32"/>
        <v>0</v>
      </c>
      <c r="AJ94" s="261"/>
      <c r="AK94" s="262"/>
      <c r="AL94" s="245">
        <f ca="1">IF(EB.Anwendung&lt;&gt;"",IF(MONTH(Monat.Tag1)=1,0,IF(MONTH(Monat.Tag1)=2,January!Monat.NBUeVM,IF(MONTH(Monat.Tag1)=3,February!Monat.NBUeVM,IF(MONTH(Monat.Tag1)=4,March!Monat.NBUeVM,IF(MONTH(Monat.Tag1)=5,April!Monat.NBUeVM,IF(MONTH(Monat.Tag1)=6,May!Monat.NBUeVM,IF(MONTH(Monat.Tag1)=7,June!Monat.NBUeVM,IF(MONTH(Monat.Tag1)=8,July!Monat.NBUeVM,IF(MONTH(Monat.Tag1)=9,August!Monat.NBUeVM,IF(MONTH(Monat.Tag1)=10,September!Monat.NBUeVM,IF(MONTH(Monat.Tag1)=11,October!Monat.NBUeVM,IF(MONTH(Monat.Tag1)=12,November!Monat.NBUeVM,"")))))))))))),"")</f>
        <v>0</v>
      </c>
      <c r="AM94" s="209"/>
      <c r="AN94" s="246">
        <f t="shared" ca="1" si="35"/>
        <v>0</v>
      </c>
      <c r="AO94" s="208"/>
      <c r="AP94" s="208"/>
      <c r="AQ94" s="119"/>
    </row>
    <row r="95" spans="1:43" s="38" customFormat="1" ht="15" customHeight="1" collapsed="1" x14ac:dyDescent="0.2">
      <c r="A95" s="212" t="s">
        <v>56</v>
      </c>
      <c r="B95" s="40"/>
      <c r="C95" s="40"/>
      <c r="D95" s="40"/>
      <c r="E95" s="27"/>
      <c r="F95" s="40"/>
      <c r="G95" s="40"/>
      <c r="H95" s="40"/>
      <c r="I95" s="40"/>
      <c r="J95" s="27"/>
      <c r="K95" s="40"/>
      <c r="L95" s="27"/>
      <c r="M95" s="40"/>
      <c r="N95" s="40"/>
      <c r="O95" s="40"/>
      <c r="P95" s="40"/>
      <c r="Q95" s="27"/>
      <c r="R95" s="40"/>
      <c r="S95" s="27"/>
      <c r="T95" s="27"/>
      <c r="U95" s="40"/>
      <c r="V95" s="40"/>
      <c r="W95" s="40"/>
      <c r="X95" s="27"/>
      <c r="Y95" s="40"/>
      <c r="Z95" s="39"/>
      <c r="AA95" s="40"/>
      <c r="AB95" s="40"/>
      <c r="AC95" s="40"/>
      <c r="AD95" s="40"/>
      <c r="AE95" s="27"/>
      <c r="AF95" s="40"/>
      <c r="AG95" s="205" t="str">
        <f t="shared" si="34"/>
        <v>Seniority allowance</v>
      </c>
      <c r="AH95" s="218"/>
      <c r="AI95" s="238">
        <f t="shared" si="32"/>
        <v>0</v>
      </c>
      <c r="AJ95" s="261"/>
      <c r="AK95" s="262"/>
      <c r="AL95" s="245">
        <f ca="1">IF(EB.Anwendung&lt;&gt;"",IF(MONTH(Monat.Tag1)=1,EB.DAG,IF(MONTH(Monat.Tag1)=2,January!Monat.DAGUeVM,IF(MONTH(Monat.Tag1)=3,February!Monat.DAGUeVM,IF(MONTH(Monat.Tag1)=4,March!Monat.DAGUeVM,IF(MONTH(Monat.Tag1)=5,April!Monat.DAGUeVM,IF(MONTH(Monat.Tag1)=6,May!Monat.DAGUeVM,IF(MONTH(Monat.Tag1)=7,June!Monat.DAGUeVM,IF(MONTH(Monat.Tag1)=8,July!Monat.DAGUeVM,IF(MONTH(Monat.Tag1)=9,August!Monat.DAGUeVM,IF(MONTH(Monat.Tag1)=10,September!Monat.DAGUeVM,IF(MONTH(Monat.Tag1)=11,October!Monat.DAGUeVM,IF(MONTH(Monat.Tag1)=12,November!Monat.DAGUeVM,"")))))))))))),"")</f>
        <v>0</v>
      </c>
      <c r="AM95" s="209"/>
      <c r="AN95" s="246">
        <f ca="1">AL95-AI95</f>
        <v>0</v>
      </c>
      <c r="AO95" s="208"/>
      <c r="AP95" s="208"/>
      <c r="AQ95" s="119"/>
    </row>
    <row r="96" spans="1:43" s="38" customFormat="1" ht="11.25" customHeight="1" x14ac:dyDescent="0.2">
      <c r="A96" s="220"/>
      <c r="B96" s="223"/>
      <c r="C96" s="223"/>
      <c r="D96" s="223"/>
      <c r="E96" s="223"/>
      <c r="F96" s="223"/>
      <c r="G96" s="223"/>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23"/>
      <c r="AF96" s="224"/>
      <c r="AG96" s="205"/>
      <c r="AH96" s="228"/>
      <c r="AI96" s="224"/>
      <c r="AJ96" s="278"/>
      <c r="AK96" s="262"/>
      <c r="AL96" s="262"/>
      <c r="AM96" s="209"/>
      <c r="AN96" s="279"/>
      <c r="AO96" s="213"/>
      <c r="AP96" s="213"/>
      <c r="AQ96" s="119"/>
    </row>
    <row r="97" spans="1:43" s="38" customFormat="1" ht="15" customHeight="1" x14ac:dyDescent="0.2">
      <c r="A97" s="215" t="str">
        <f t="shared" ref="A97:A111" ca="1" si="36">IF(ROW(A97)-ROW(INDEX(Monat.Projekte.Zeilen,1))+1&gt;EB.AnzProjekte,"",OFFSET(EB.Projekte.Knoten,ROW(A97)-ROW(INDEX(Monat.Projekte.Zeilen,1))+1,0,1,1))</f>
        <v/>
      </c>
      <c r="B97" s="40"/>
      <c r="C97" s="40"/>
      <c r="D97" s="40"/>
      <c r="E97" s="27"/>
      <c r="F97" s="40"/>
      <c r="G97" s="40"/>
      <c r="H97" s="40"/>
      <c r="I97" s="40"/>
      <c r="J97" s="27"/>
      <c r="K97" s="40"/>
      <c r="L97" s="27"/>
      <c r="M97" s="40"/>
      <c r="N97" s="40"/>
      <c r="O97" s="40"/>
      <c r="P97" s="40"/>
      <c r="Q97" s="27"/>
      <c r="R97" s="40"/>
      <c r="S97" s="27"/>
      <c r="T97" s="27"/>
      <c r="U97" s="40"/>
      <c r="V97" s="40"/>
      <c r="W97" s="40"/>
      <c r="X97" s="27"/>
      <c r="Y97" s="40"/>
      <c r="Z97" s="39"/>
      <c r="AA97" s="40"/>
      <c r="AB97" s="40"/>
      <c r="AC97" s="40"/>
      <c r="AD97" s="40"/>
      <c r="AE97" s="27"/>
      <c r="AF97" s="40"/>
      <c r="AG97" s="205" t="str">
        <f t="shared" ca="1" si="34"/>
        <v/>
      </c>
      <c r="AH97" s="233"/>
      <c r="AI97" s="285">
        <f>SUM(B97:AF97)</f>
        <v>0</v>
      </c>
      <c r="AJ97" s="261"/>
      <c r="AK97" s="224"/>
      <c r="AL97" s="245">
        <f ca="1">IF(EB.Anwendung&lt;&gt;"",IF(MONTH(Monat.Tag1)=1,0,IF(MONTH(Monat.Tag1)=2,January!Monat.P1UeVM,IF(MONTH(Monat.Tag1)=3,February!Monat.P1UeVM,IF(MONTH(Monat.Tag1)=4,March!Monat.P1UeVM,IF(MONTH(Monat.Tag1)=5,April!Monat.P1UeVM,IF(MONTH(Monat.Tag1)=6,May!Monat.P1UeVM,IF(MONTH(Monat.Tag1)=7,June!Monat.P1UeVM,IF(MONTH(Monat.Tag1)=8,July!Monat.P1UeVM,IF(MONTH(Monat.Tag1)=9,August!Monat.P1UeVM,IF(MONTH(Monat.Tag1)=10,September!Monat.P1UeVM,IF(MONTH(Monat.Tag1)=11,October!Monat.P1UeVM,IF(MONTH(Monat.Tag1)=12,November!Monat.P1UeVM,"")))))))))))),"")</f>
        <v>0</v>
      </c>
      <c r="AM97" s="209"/>
      <c r="AN97" s="246">
        <f t="shared" ref="AN97:AN112" ca="1" si="37">AI97+AL97</f>
        <v>0</v>
      </c>
      <c r="AO97" s="208"/>
      <c r="AP97" s="208"/>
      <c r="AQ97" s="119"/>
    </row>
    <row r="98" spans="1:43" s="38" customFormat="1" ht="15" customHeight="1" x14ac:dyDescent="0.2">
      <c r="A98" s="215" t="str">
        <f t="shared" ca="1" si="36"/>
        <v/>
      </c>
      <c r="B98" s="40"/>
      <c r="C98" s="40"/>
      <c r="D98" s="40"/>
      <c r="E98" s="27"/>
      <c r="F98" s="40"/>
      <c r="G98" s="40"/>
      <c r="H98" s="40"/>
      <c r="I98" s="40"/>
      <c r="J98" s="27"/>
      <c r="K98" s="40"/>
      <c r="L98" s="27"/>
      <c r="M98" s="40"/>
      <c r="N98" s="40"/>
      <c r="O98" s="40"/>
      <c r="P98" s="40"/>
      <c r="Q98" s="27"/>
      <c r="R98" s="40"/>
      <c r="S98" s="27"/>
      <c r="T98" s="27"/>
      <c r="U98" s="40"/>
      <c r="V98" s="40"/>
      <c r="W98" s="40"/>
      <c r="X98" s="27"/>
      <c r="Y98" s="40"/>
      <c r="Z98" s="39"/>
      <c r="AA98" s="40"/>
      <c r="AB98" s="40"/>
      <c r="AC98" s="40"/>
      <c r="AD98" s="40"/>
      <c r="AE98" s="27"/>
      <c r="AF98" s="40"/>
      <c r="AG98" s="205" t="str">
        <f t="shared" ca="1" si="34"/>
        <v/>
      </c>
      <c r="AH98" s="218"/>
      <c r="AI98" s="238">
        <f>SUM(B98:AF98)</f>
        <v>0</v>
      </c>
      <c r="AJ98" s="261"/>
      <c r="AK98" s="224"/>
      <c r="AL98" s="245">
        <f ca="1">IF(EB.Anwendung&lt;&gt;"",IF(MONTH(Monat.Tag1)=1,0,IF(MONTH(Monat.Tag1)=2,January!Monat.P2UeVM,IF(MONTH(Monat.Tag1)=3,February!Monat.P2UeVM,IF(MONTH(Monat.Tag1)=4,March!Monat.P2UeVM,IF(MONTH(Monat.Tag1)=5,April!Monat.P2UeVM,IF(MONTH(Monat.Tag1)=6,May!Monat.P2UeVM,IF(MONTH(Monat.Tag1)=7,June!Monat.P2UeVM,IF(MONTH(Monat.Tag1)=8,July!Monat.P2UeVM,IF(MONTH(Monat.Tag1)=9,August!Monat.P2UeVM,IF(MONTH(Monat.Tag1)=10,September!Monat.P2UeVM,IF(MONTH(Monat.Tag1)=11,October!Monat.P2UeVM,IF(MONTH(Monat.Tag1)=12,November!Monat.P2UeVM,"")))))))))))),"")</f>
        <v>0</v>
      </c>
      <c r="AM98" s="209"/>
      <c r="AN98" s="246">
        <f t="shared" ca="1" si="37"/>
        <v>0</v>
      </c>
      <c r="AO98" s="208"/>
      <c r="AP98" s="208"/>
      <c r="AQ98" s="119"/>
    </row>
    <row r="99" spans="1:43" s="38" customFormat="1" ht="15" customHeight="1" x14ac:dyDescent="0.2">
      <c r="A99" s="215" t="str">
        <f t="shared" ca="1" si="36"/>
        <v/>
      </c>
      <c r="B99" s="40"/>
      <c r="C99" s="40"/>
      <c r="D99" s="40"/>
      <c r="E99" s="27"/>
      <c r="F99" s="40"/>
      <c r="G99" s="40"/>
      <c r="H99" s="40"/>
      <c r="I99" s="40"/>
      <c r="J99" s="27"/>
      <c r="K99" s="40"/>
      <c r="L99" s="27"/>
      <c r="M99" s="40"/>
      <c r="N99" s="40"/>
      <c r="O99" s="40"/>
      <c r="P99" s="40"/>
      <c r="Q99" s="27"/>
      <c r="R99" s="40"/>
      <c r="S99" s="27"/>
      <c r="T99" s="27"/>
      <c r="U99" s="40"/>
      <c r="V99" s="40"/>
      <c r="W99" s="40"/>
      <c r="X99" s="27"/>
      <c r="Y99" s="40"/>
      <c r="Z99" s="39"/>
      <c r="AA99" s="40"/>
      <c r="AB99" s="40"/>
      <c r="AC99" s="40"/>
      <c r="AD99" s="40"/>
      <c r="AE99" s="27"/>
      <c r="AF99" s="40"/>
      <c r="AG99" s="205" t="str">
        <f t="shared" ca="1" si="34"/>
        <v/>
      </c>
      <c r="AH99" s="286"/>
      <c r="AI99" s="238">
        <f>SUM(B99:AF99)</f>
        <v>0</v>
      </c>
      <c r="AJ99" s="261"/>
      <c r="AK99" s="224"/>
      <c r="AL99" s="245">
        <f ca="1">IF(EB.Anwendung&lt;&gt;"",IF(MONTH(Monat.Tag1)=1,0,IF(MONTH(Monat.Tag1)=2,January!Monat.P3UeVM,IF(MONTH(Monat.Tag1)=3,February!Monat.P3UeVM,IF(MONTH(Monat.Tag1)=4,March!Monat.P3UeVM,IF(MONTH(Monat.Tag1)=5,April!Monat.P3UeVM,IF(MONTH(Monat.Tag1)=6,May!Monat.P3UeVM,IF(MONTH(Monat.Tag1)=7,June!Monat.P3UeVM,IF(MONTH(Monat.Tag1)=8,July!Monat.P3UeVM,IF(MONTH(Monat.Tag1)=9,August!Monat.P3UeVM,IF(MONTH(Monat.Tag1)=10,September!Monat.P3UeVM,IF(MONTH(Monat.Tag1)=11,October!Monat.P3UeVM,IF(MONTH(Monat.Tag1)=12,November!Monat.P3UeVM,"")))))))))))),"")</f>
        <v>0</v>
      </c>
      <c r="AM99" s="209"/>
      <c r="AN99" s="246">
        <f t="shared" ca="1" si="37"/>
        <v>0</v>
      </c>
      <c r="AO99" s="208"/>
      <c r="AP99" s="208"/>
      <c r="AQ99" s="119"/>
    </row>
    <row r="100" spans="1:43" s="38" customFormat="1" ht="15" customHeight="1" x14ac:dyDescent="0.2">
      <c r="A100" s="215" t="str">
        <f t="shared" ca="1" si="36"/>
        <v/>
      </c>
      <c r="B100" s="40"/>
      <c r="C100" s="40"/>
      <c r="D100" s="40"/>
      <c r="E100" s="27"/>
      <c r="F100" s="40"/>
      <c r="G100" s="40"/>
      <c r="H100" s="40"/>
      <c r="I100" s="40"/>
      <c r="J100" s="27"/>
      <c r="K100" s="40"/>
      <c r="L100" s="27"/>
      <c r="M100" s="40"/>
      <c r="N100" s="40"/>
      <c r="O100" s="40"/>
      <c r="P100" s="40"/>
      <c r="Q100" s="27"/>
      <c r="R100" s="40"/>
      <c r="S100" s="27"/>
      <c r="T100" s="27"/>
      <c r="U100" s="40"/>
      <c r="V100" s="40"/>
      <c r="W100" s="40"/>
      <c r="X100" s="27"/>
      <c r="Y100" s="40"/>
      <c r="Z100" s="39"/>
      <c r="AA100" s="40"/>
      <c r="AB100" s="40"/>
      <c r="AC100" s="40"/>
      <c r="AD100" s="40"/>
      <c r="AE100" s="27"/>
      <c r="AF100" s="40"/>
      <c r="AG100" s="205" t="str">
        <f t="shared" ca="1" si="34"/>
        <v/>
      </c>
      <c r="AH100" s="228"/>
      <c r="AI100" s="238">
        <f t="shared" ref="AI100:AI112" si="38">SUM(B100:AF100)</f>
        <v>0</v>
      </c>
      <c r="AJ100" s="261"/>
      <c r="AK100" s="224"/>
      <c r="AL100" s="245">
        <f ca="1">IF(EB.Anwendung&lt;&gt;"",IF(MONTH(Monat.Tag1)=1,0,IF(MONTH(Monat.Tag1)=2,January!Monat.P4UeVM,IF(MONTH(Monat.Tag1)=3,February!Monat.P4UeVM,IF(MONTH(Monat.Tag1)=4,March!Monat.P4UeVM,IF(MONTH(Monat.Tag1)=5,April!Monat.P4UeVM,IF(MONTH(Monat.Tag1)=6,May!Monat.P4UeVM,IF(MONTH(Monat.Tag1)=7,June!Monat.P4UeVM,IF(MONTH(Monat.Tag1)=8,July!Monat.P4UeVM,IF(MONTH(Monat.Tag1)=9,August!Monat.P4UeVM,IF(MONTH(Monat.Tag1)=10,September!Monat.P4UeVM,IF(MONTH(Monat.Tag1)=11,October!Monat.P4UeVM,IF(MONTH(Monat.Tag1)=12,November!Monat.P4UeVM,"")))))))))))),"")</f>
        <v>0</v>
      </c>
      <c r="AM100" s="209"/>
      <c r="AN100" s="246">
        <f t="shared" ca="1" si="37"/>
        <v>0</v>
      </c>
      <c r="AO100" s="208"/>
      <c r="AP100" s="208"/>
      <c r="AQ100" s="119"/>
    </row>
    <row r="101" spans="1:43" s="38" customFormat="1" ht="15" customHeight="1" x14ac:dyDescent="0.2">
      <c r="A101" s="215" t="str">
        <f t="shared" ca="1" si="36"/>
        <v/>
      </c>
      <c r="B101" s="40"/>
      <c r="C101" s="40"/>
      <c r="D101" s="40"/>
      <c r="E101" s="27"/>
      <c r="F101" s="40"/>
      <c r="G101" s="40"/>
      <c r="H101" s="40"/>
      <c r="I101" s="40"/>
      <c r="J101" s="27"/>
      <c r="K101" s="40"/>
      <c r="L101" s="27"/>
      <c r="M101" s="40"/>
      <c r="N101" s="40"/>
      <c r="O101" s="40"/>
      <c r="P101" s="40"/>
      <c r="Q101" s="27"/>
      <c r="R101" s="40"/>
      <c r="S101" s="27"/>
      <c r="T101" s="27"/>
      <c r="U101" s="40"/>
      <c r="V101" s="40"/>
      <c r="W101" s="40"/>
      <c r="X101" s="27"/>
      <c r="Y101" s="40"/>
      <c r="Z101" s="39"/>
      <c r="AA101" s="40"/>
      <c r="AB101" s="40"/>
      <c r="AC101" s="40"/>
      <c r="AD101" s="40"/>
      <c r="AE101" s="27"/>
      <c r="AF101" s="40"/>
      <c r="AG101" s="205" t="str">
        <f t="shared" ca="1" si="34"/>
        <v/>
      </c>
      <c r="AH101" s="218"/>
      <c r="AI101" s="238">
        <f t="shared" si="38"/>
        <v>0</v>
      </c>
      <c r="AJ101" s="261"/>
      <c r="AK101" s="224"/>
      <c r="AL101" s="245">
        <f ca="1">IF(EB.Anwendung&lt;&gt;"",IF(MONTH(Monat.Tag1)=1,0,IF(MONTH(Monat.Tag1)=2,January!Monat.P5UeVM,IF(MONTH(Monat.Tag1)=3,February!Monat.P5UeVM,IF(MONTH(Monat.Tag1)=4,March!Monat.P5UeVM,IF(MONTH(Monat.Tag1)=5,April!Monat.P5UeVM,IF(MONTH(Monat.Tag1)=6,May!Monat.P5UeVM,IF(MONTH(Monat.Tag1)=7,June!Monat.P5UeVM,IF(MONTH(Monat.Tag1)=8,July!Monat.P5UeVM,IF(MONTH(Monat.Tag1)=9,August!Monat.P5UeVM,IF(MONTH(Monat.Tag1)=10,September!Monat.P5UeVM,IF(MONTH(Monat.Tag1)=11,October!Monat.P5UeVM,IF(MONTH(Monat.Tag1)=12,November!Monat.P5UeVM,"")))))))))))),"")</f>
        <v>0</v>
      </c>
      <c r="AM101" s="209"/>
      <c r="AN101" s="246">
        <f t="shared" ca="1" si="37"/>
        <v>0</v>
      </c>
      <c r="AO101" s="208"/>
      <c r="AP101" s="208"/>
      <c r="AQ101" s="119"/>
    </row>
    <row r="102" spans="1:43" s="38" customFormat="1" ht="15" hidden="1" customHeight="1" outlineLevel="1" x14ac:dyDescent="0.2">
      <c r="A102" s="215" t="str">
        <f t="shared" ca="1" si="36"/>
        <v/>
      </c>
      <c r="B102" s="40"/>
      <c r="C102" s="40"/>
      <c r="D102" s="40"/>
      <c r="E102" s="27"/>
      <c r="F102" s="40"/>
      <c r="G102" s="40"/>
      <c r="H102" s="40"/>
      <c r="I102" s="40"/>
      <c r="J102" s="27"/>
      <c r="K102" s="40"/>
      <c r="L102" s="27"/>
      <c r="M102" s="40"/>
      <c r="N102" s="40"/>
      <c r="O102" s="40"/>
      <c r="P102" s="40"/>
      <c r="Q102" s="27"/>
      <c r="R102" s="40"/>
      <c r="S102" s="27"/>
      <c r="T102" s="27"/>
      <c r="U102" s="40"/>
      <c r="V102" s="40"/>
      <c r="W102" s="40"/>
      <c r="X102" s="27"/>
      <c r="Y102" s="40"/>
      <c r="Z102" s="39"/>
      <c r="AA102" s="40"/>
      <c r="AB102" s="40"/>
      <c r="AC102" s="40"/>
      <c r="AD102" s="40"/>
      <c r="AE102" s="27"/>
      <c r="AF102" s="40"/>
      <c r="AG102" s="205" t="str">
        <f t="shared" ca="1" si="34"/>
        <v/>
      </c>
      <c r="AH102" s="286"/>
      <c r="AI102" s="238">
        <f t="shared" si="38"/>
        <v>0</v>
      </c>
      <c r="AJ102" s="261"/>
      <c r="AK102" s="224"/>
      <c r="AL102" s="245">
        <f ca="1">IF(EB.Anwendung&lt;&gt;"",IF(MONTH(Monat.Tag1)=1,0,IF(MONTH(Monat.Tag1)=2,January!Monat.P6UeVM,IF(MONTH(Monat.Tag1)=3,February!Monat.P6UeVM,IF(MONTH(Monat.Tag1)=4,March!Monat.P6UeVM,IF(MONTH(Monat.Tag1)=5,April!Monat.P6UeVM,IF(MONTH(Monat.Tag1)=6,May!Monat.P6UeVM,IF(MONTH(Monat.Tag1)=7,June!Monat.P6UeVM,IF(MONTH(Monat.Tag1)=8,July!Monat.P6UeVM,IF(MONTH(Monat.Tag1)=9,August!Monat.P6UeVM,IF(MONTH(Monat.Tag1)=10,September!Monat.P6UeVM,IF(MONTH(Monat.Tag1)=11,October!Monat.P6UeVM,IF(MONTH(Monat.Tag1)=12,November!Monat.P6UeVM,"")))))))))))),"")</f>
        <v>0</v>
      </c>
      <c r="AM102" s="209"/>
      <c r="AN102" s="246">
        <f t="shared" ca="1" si="37"/>
        <v>0</v>
      </c>
      <c r="AO102" s="208"/>
      <c r="AP102" s="208"/>
      <c r="AQ102" s="119"/>
    </row>
    <row r="103" spans="1:43" s="38" customFormat="1" ht="15" hidden="1" customHeight="1" outlineLevel="1" x14ac:dyDescent="0.2">
      <c r="A103" s="215" t="str">
        <f t="shared" ca="1" si="36"/>
        <v/>
      </c>
      <c r="B103" s="40"/>
      <c r="C103" s="40"/>
      <c r="D103" s="40"/>
      <c r="E103" s="27"/>
      <c r="F103" s="40"/>
      <c r="G103" s="40"/>
      <c r="H103" s="40"/>
      <c r="I103" s="40"/>
      <c r="J103" s="27"/>
      <c r="K103" s="40"/>
      <c r="L103" s="27"/>
      <c r="M103" s="40"/>
      <c r="N103" s="40"/>
      <c r="O103" s="40"/>
      <c r="P103" s="40"/>
      <c r="Q103" s="27"/>
      <c r="R103" s="40"/>
      <c r="S103" s="27"/>
      <c r="T103" s="27"/>
      <c r="U103" s="40"/>
      <c r="V103" s="40"/>
      <c r="W103" s="40"/>
      <c r="X103" s="27"/>
      <c r="Y103" s="40"/>
      <c r="Z103" s="39"/>
      <c r="AA103" s="40"/>
      <c r="AB103" s="40"/>
      <c r="AC103" s="40"/>
      <c r="AD103" s="40"/>
      <c r="AE103" s="27"/>
      <c r="AF103" s="40"/>
      <c r="AG103" s="205" t="str">
        <f ca="1">A103</f>
        <v/>
      </c>
      <c r="AH103" s="228"/>
      <c r="AI103" s="238">
        <f>SUM(B103:AF103)</f>
        <v>0</v>
      </c>
      <c r="AJ103" s="261"/>
      <c r="AK103" s="224"/>
      <c r="AL103" s="245">
        <f ca="1">IF(EB.Anwendung&lt;&gt;"",IF(MONTH(Monat.Tag1)=1,0,IF(MONTH(Monat.Tag1)=2,January!Monat.P7UeVM,IF(MONTH(Monat.Tag1)=3,February!Monat.P7UeVM,IF(MONTH(Monat.Tag1)=4,March!Monat.P7UeVM,IF(MONTH(Monat.Tag1)=5,April!Monat.P7UeVM,IF(MONTH(Monat.Tag1)=6,May!Monat.P7UeVM,IF(MONTH(Monat.Tag1)=7,June!Monat.P7UeVM,IF(MONTH(Monat.Tag1)=8,July!Monat.P7UeVM,IF(MONTH(Monat.Tag1)=9,August!Monat.P7UeVM,IF(MONTH(Monat.Tag1)=10,September!Monat.P7UeVM,IF(MONTH(Monat.Tag1)=11,October!Monat.P7UeVM,IF(MONTH(Monat.Tag1)=12,November!Monat.P7UeVM,"")))))))))))),"")</f>
        <v>0</v>
      </c>
      <c r="AM103" s="209"/>
      <c r="AN103" s="246">
        <f t="shared" ca="1" si="37"/>
        <v>0</v>
      </c>
      <c r="AO103" s="208"/>
      <c r="AP103" s="208"/>
      <c r="AQ103" s="119"/>
    </row>
    <row r="104" spans="1:43" s="38" customFormat="1" ht="15" hidden="1" customHeight="1" outlineLevel="1" x14ac:dyDescent="0.2">
      <c r="A104" s="215" t="str">
        <f t="shared" ca="1" si="36"/>
        <v/>
      </c>
      <c r="B104" s="40"/>
      <c r="C104" s="40"/>
      <c r="D104" s="40"/>
      <c r="E104" s="27"/>
      <c r="F104" s="40"/>
      <c r="G104" s="40"/>
      <c r="H104" s="40"/>
      <c r="I104" s="40"/>
      <c r="J104" s="27"/>
      <c r="K104" s="40"/>
      <c r="L104" s="27"/>
      <c r="M104" s="40"/>
      <c r="N104" s="40"/>
      <c r="O104" s="40"/>
      <c r="P104" s="40"/>
      <c r="Q104" s="27"/>
      <c r="R104" s="40"/>
      <c r="S104" s="27"/>
      <c r="T104" s="27"/>
      <c r="U104" s="40"/>
      <c r="V104" s="40"/>
      <c r="W104" s="40"/>
      <c r="X104" s="27"/>
      <c r="Y104" s="40"/>
      <c r="Z104" s="39"/>
      <c r="AA104" s="40"/>
      <c r="AB104" s="40"/>
      <c r="AC104" s="40"/>
      <c r="AD104" s="40"/>
      <c r="AE104" s="27"/>
      <c r="AF104" s="40"/>
      <c r="AG104" s="205" t="str">
        <f t="shared" ca="1" si="34"/>
        <v/>
      </c>
      <c r="AH104" s="233"/>
      <c r="AI104" s="238">
        <f t="shared" si="38"/>
        <v>0</v>
      </c>
      <c r="AJ104" s="261"/>
      <c r="AK104" s="224"/>
      <c r="AL104" s="245">
        <f ca="1">IF(EB.Anwendung&lt;&gt;"",IF(MONTH(Monat.Tag1)=1,0,IF(MONTH(Monat.Tag1)=2,January!Monat.P8UeVM,IF(MONTH(Monat.Tag1)=3,February!Monat.P8UeVM,IF(MONTH(Monat.Tag1)=4,March!Monat.P8UeVM,IF(MONTH(Monat.Tag1)=5,April!Monat.P8UeVM,IF(MONTH(Monat.Tag1)=6,May!Monat.P8UeVM,IF(MONTH(Monat.Tag1)=7,June!Monat.P8UeVM,IF(MONTH(Monat.Tag1)=8,July!Monat.P8UeVM,IF(MONTH(Monat.Tag1)=9,August!Monat.P8UeVM,IF(MONTH(Monat.Tag1)=10,September!Monat.P8UeVM,IF(MONTH(Monat.Tag1)=11,October!Monat.P8UeVM,IF(MONTH(Monat.Tag1)=12,November!Monat.P8UeVM,"")))))))))))),"")</f>
        <v>0</v>
      </c>
      <c r="AM104" s="209"/>
      <c r="AN104" s="246">
        <f t="shared" ca="1" si="37"/>
        <v>0</v>
      </c>
      <c r="AO104" s="208"/>
      <c r="AP104" s="208"/>
      <c r="AQ104" s="119"/>
    </row>
    <row r="105" spans="1:43" s="38" customFormat="1" ht="15" hidden="1" customHeight="1" outlineLevel="1" x14ac:dyDescent="0.2">
      <c r="A105" s="215" t="str">
        <f t="shared" ca="1" si="36"/>
        <v/>
      </c>
      <c r="B105" s="40"/>
      <c r="C105" s="40"/>
      <c r="D105" s="40"/>
      <c r="E105" s="27"/>
      <c r="F105" s="40"/>
      <c r="G105" s="40"/>
      <c r="H105" s="40"/>
      <c r="I105" s="40"/>
      <c r="J105" s="27"/>
      <c r="K105" s="40"/>
      <c r="L105" s="27"/>
      <c r="M105" s="40"/>
      <c r="N105" s="40"/>
      <c r="O105" s="40"/>
      <c r="P105" s="40"/>
      <c r="Q105" s="27"/>
      <c r="R105" s="40"/>
      <c r="S105" s="27"/>
      <c r="T105" s="27"/>
      <c r="U105" s="40"/>
      <c r="V105" s="40"/>
      <c r="W105" s="40"/>
      <c r="X105" s="27"/>
      <c r="Y105" s="40"/>
      <c r="Z105" s="39"/>
      <c r="AA105" s="40"/>
      <c r="AB105" s="40"/>
      <c r="AC105" s="40"/>
      <c r="AD105" s="40"/>
      <c r="AE105" s="27"/>
      <c r="AF105" s="40"/>
      <c r="AG105" s="205" t="str">
        <f t="shared" ca="1" si="34"/>
        <v/>
      </c>
      <c r="AH105" s="218"/>
      <c r="AI105" s="238">
        <f t="shared" si="38"/>
        <v>0</v>
      </c>
      <c r="AJ105" s="261"/>
      <c r="AK105" s="224"/>
      <c r="AL105" s="245">
        <f ca="1">IF(EB.Anwendung&lt;&gt;"",IF(MONTH(Monat.Tag1)=1,0,IF(MONTH(Monat.Tag1)=2,January!Monat.P9UeVM,IF(MONTH(Monat.Tag1)=3,February!Monat.P9UeVM,IF(MONTH(Monat.Tag1)=4,March!Monat.P9UeVM,IF(MONTH(Monat.Tag1)=5,April!Monat.P9UeVM,IF(MONTH(Monat.Tag1)=6,May!Monat.P9UeVM,IF(MONTH(Monat.Tag1)=7,June!Monat.P9UeVM,IF(MONTH(Monat.Tag1)=8,July!Monat.P9UeVM,IF(MONTH(Monat.Tag1)=9,August!Monat.P9UeVM,IF(MONTH(Monat.Tag1)=10,September!Monat.P9UeVM,IF(MONTH(Monat.Tag1)=11,October!Monat.P9UeVM,IF(MONTH(Monat.Tag1)=12,November!Monat.P9UeVM,"")))))))))))),"")</f>
        <v>0</v>
      </c>
      <c r="AM105" s="209"/>
      <c r="AN105" s="246">
        <f t="shared" ca="1" si="37"/>
        <v>0</v>
      </c>
      <c r="AO105" s="208"/>
      <c r="AP105" s="208"/>
      <c r="AQ105" s="119"/>
    </row>
    <row r="106" spans="1:43" s="38" customFormat="1" ht="15" hidden="1" customHeight="1" outlineLevel="1" x14ac:dyDescent="0.2">
      <c r="A106" s="215" t="str">
        <f t="shared" ca="1" si="36"/>
        <v/>
      </c>
      <c r="B106" s="40"/>
      <c r="C106" s="40"/>
      <c r="D106" s="40"/>
      <c r="E106" s="27"/>
      <c r="F106" s="40"/>
      <c r="G106" s="40"/>
      <c r="H106" s="40"/>
      <c r="I106" s="40"/>
      <c r="J106" s="27"/>
      <c r="K106" s="40"/>
      <c r="L106" s="27"/>
      <c r="M106" s="40"/>
      <c r="N106" s="40"/>
      <c r="O106" s="40"/>
      <c r="P106" s="40"/>
      <c r="Q106" s="27"/>
      <c r="R106" s="40"/>
      <c r="S106" s="27"/>
      <c r="T106" s="27"/>
      <c r="U106" s="40"/>
      <c r="V106" s="40"/>
      <c r="W106" s="40"/>
      <c r="X106" s="27"/>
      <c r="Y106" s="40"/>
      <c r="Z106" s="39"/>
      <c r="AA106" s="40"/>
      <c r="AB106" s="40"/>
      <c r="AC106" s="40"/>
      <c r="AD106" s="40"/>
      <c r="AE106" s="27"/>
      <c r="AF106" s="40"/>
      <c r="AG106" s="205" t="str">
        <f t="shared" ca="1" si="34"/>
        <v/>
      </c>
      <c r="AH106" s="218"/>
      <c r="AI106" s="238">
        <f t="shared" si="38"/>
        <v>0</v>
      </c>
      <c r="AJ106" s="261"/>
      <c r="AK106" s="224"/>
      <c r="AL106" s="245">
        <f ca="1">IF(EB.Anwendung&lt;&gt;"",IF(MONTH(Monat.Tag1)=1,0,IF(MONTH(Monat.Tag1)=2,January!Monat.P10UeVM,IF(MONTH(Monat.Tag1)=3,February!Monat.P10UeVM,IF(MONTH(Monat.Tag1)=4,March!Monat.P10UeVM,IF(MONTH(Monat.Tag1)=5,April!Monat.P10UeVM,IF(MONTH(Monat.Tag1)=6,May!Monat.P10UeVM,IF(MONTH(Monat.Tag1)=7,June!Monat.P10UeVM,IF(MONTH(Monat.Tag1)=8,July!Monat.P10UeVM,IF(MONTH(Monat.Tag1)=9,August!Monat.P10UeVM,IF(MONTH(Monat.Tag1)=10,September!Monat.P10UeVM,IF(MONTH(Monat.Tag1)=11,October!Monat.P10UeVM,IF(MONTH(Monat.Tag1)=12,November!Monat.P10UeVM,"")))))))))))),"")</f>
        <v>0</v>
      </c>
      <c r="AM106" s="209"/>
      <c r="AN106" s="246">
        <f t="shared" ca="1" si="37"/>
        <v>0</v>
      </c>
      <c r="AO106" s="208"/>
      <c r="AP106" s="208"/>
      <c r="AQ106" s="119"/>
    </row>
    <row r="107" spans="1:43" s="38" customFormat="1" ht="15" hidden="1" customHeight="1" outlineLevel="1" x14ac:dyDescent="0.2">
      <c r="A107" s="215" t="str">
        <f t="shared" ca="1" si="36"/>
        <v/>
      </c>
      <c r="B107" s="40"/>
      <c r="C107" s="40"/>
      <c r="D107" s="40"/>
      <c r="E107" s="27"/>
      <c r="F107" s="40"/>
      <c r="G107" s="40"/>
      <c r="H107" s="40"/>
      <c r="I107" s="40"/>
      <c r="J107" s="27"/>
      <c r="K107" s="40"/>
      <c r="L107" s="27"/>
      <c r="M107" s="40"/>
      <c r="N107" s="40"/>
      <c r="O107" s="40"/>
      <c r="P107" s="40"/>
      <c r="Q107" s="27"/>
      <c r="R107" s="40"/>
      <c r="S107" s="27"/>
      <c r="T107" s="27"/>
      <c r="U107" s="40"/>
      <c r="V107" s="40"/>
      <c r="W107" s="40"/>
      <c r="X107" s="27"/>
      <c r="Y107" s="40"/>
      <c r="Z107" s="39"/>
      <c r="AA107" s="40"/>
      <c r="AB107" s="40"/>
      <c r="AC107" s="40"/>
      <c r="AD107" s="40"/>
      <c r="AE107" s="27"/>
      <c r="AF107" s="40"/>
      <c r="AG107" s="205" t="str">
        <f ca="1">A107</f>
        <v/>
      </c>
      <c r="AH107" s="233"/>
      <c r="AI107" s="238">
        <f t="shared" si="38"/>
        <v>0</v>
      </c>
      <c r="AJ107" s="261"/>
      <c r="AK107" s="224"/>
      <c r="AL107" s="245">
        <f ca="1">IF(EB.Anwendung&lt;&gt;"",IF(MONTH(Monat.Tag1)=1,0,IF(MONTH(Monat.Tag1)=2,January!Monat.P11UeVM,IF(MONTH(Monat.Tag1)=3,February!Monat.P11UeVM,IF(MONTH(Monat.Tag1)=4,March!Monat.P11UeVM,IF(MONTH(Monat.Tag1)=5,April!Monat.P11UeVM,IF(MONTH(Monat.Tag1)=6,May!Monat.P11UeVM,IF(MONTH(Monat.Tag1)=7,June!Monat.P11UeVM,IF(MONTH(Monat.Tag1)=8,July!Monat.P11UeVM,IF(MONTH(Monat.Tag1)=9,August!Monat.P11UeVM,IF(MONTH(Monat.Tag1)=10,September!Monat.P11UeVM,IF(MONTH(Monat.Tag1)=11,October!Monat.P11UeVM,IF(MONTH(Monat.Tag1)=12,November!Monat.P11UeVM,"")))))))))))),"")</f>
        <v>0</v>
      </c>
      <c r="AM107" s="209"/>
      <c r="AN107" s="246">
        <f t="shared" ca="1" si="37"/>
        <v>0</v>
      </c>
      <c r="AO107" s="287"/>
      <c r="AP107" s="287"/>
      <c r="AQ107" s="119"/>
    </row>
    <row r="108" spans="1:43" s="49" customFormat="1" ht="15" hidden="1" customHeight="1" outlineLevel="1" x14ac:dyDescent="0.2">
      <c r="A108" s="215" t="str">
        <f t="shared" ca="1" si="36"/>
        <v/>
      </c>
      <c r="B108" s="40"/>
      <c r="C108" s="40"/>
      <c r="D108" s="40"/>
      <c r="E108" s="27"/>
      <c r="F108" s="40"/>
      <c r="G108" s="40"/>
      <c r="H108" s="40"/>
      <c r="I108" s="40"/>
      <c r="J108" s="27"/>
      <c r="K108" s="40"/>
      <c r="L108" s="27"/>
      <c r="M108" s="40"/>
      <c r="N108" s="40"/>
      <c r="O108" s="40"/>
      <c r="P108" s="40"/>
      <c r="Q108" s="27"/>
      <c r="R108" s="40"/>
      <c r="S108" s="27"/>
      <c r="T108" s="27"/>
      <c r="U108" s="40"/>
      <c r="V108" s="40"/>
      <c r="W108" s="40"/>
      <c r="X108" s="27"/>
      <c r="Y108" s="40"/>
      <c r="Z108" s="39"/>
      <c r="AA108" s="40"/>
      <c r="AB108" s="40"/>
      <c r="AC108" s="40"/>
      <c r="AD108" s="40"/>
      <c r="AE108" s="27"/>
      <c r="AF108" s="40"/>
      <c r="AG108" s="205" t="str">
        <f t="shared" ca="1" si="34"/>
        <v/>
      </c>
      <c r="AH108" s="233"/>
      <c r="AI108" s="238">
        <f t="shared" si="38"/>
        <v>0</v>
      </c>
      <c r="AJ108" s="261"/>
      <c r="AK108" s="224"/>
      <c r="AL108" s="245">
        <f ca="1">IF(EB.Anwendung&lt;&gt;"",IF(MONTH(Monat.Tag1)=1,0,IF(MONTH(Monat.Tag1)=2,January!Monat.P12UeVM,IF(MONTH(Monat.Tag1)=3,February!Monat.P12UeVM,IF(MONTH(Monat.Tag1)=4,March!Monat.P12UeVM,IF(MONTH(Monat.Tag1)=5,April!Monat.P12UeVM,IF(MONTH(Monat.Tag1)=6,May!Monat.P12UeVM,IF(MONTH(Monat.Tag1)=7,June!Monat.P12UeVM,IF(MONTH(Monat.Tag1)=8,July!Monat.P12UeVM,IF(MONTH(Monat.Tag1)=9,August!Monat.P12UeVM,IF(MONTH(Monat.Tag1)=10,September!Monat.P12UeVM,IF(MONTH(Monat.Tag1)=11,October!Monat.P12UeVM,IF(MONTH(Monat.Tag1)=12,November!Monat.P12UeVM,"")))))))))))),"")</f>
        <v>0</v>
      </c>
      <c r="AM108" s="209"/>
      <c r="AN108" s="246">
        <f t="shared" ca="1" si="37"/>
        <v>0</v>
      </c>
      <c r="AO108" s="287"/>
      <c r="AP108" s="287"/>
      <c r="AQ108" s="288"/>
    </row>
    <row r="109" spans="1:43" s="49" customFormat="1" ht="15" hidden="1" customHeight="1" outlineLevel="1" x14ac:dyDescent="0.2">
      <c r="A109" s="215" t="str">
        <f t="shared" ca="1" si="36"/>
        <v/>
      </c>
      <c r="B109" s="40"/>
      <c r="C109" s="40"/>
      <c r="D109" s="40"/>
      <c r="E109" s="27"/>
      <c r="F109" s="40"/>
      <c r="G109" s="40"/>
      <c r="H109" s="40"/>
      <c r="I109" s="40"/>
      <c r="J109" s="27"/>
      <c r="K109" s="40"/>
      <c r="L109" s="27"/>
      <c r="M109" s="40"/>
      <c r="N109" s="40"/>
      <c r="O109" s="40"/>
      <c r="P109" s="40"/>
      <c r="Q109" s="27"/>
      <c r="R109" s="40"/>
      <c r="S109" s="27"/>
      <c r="T109" s="27"/>
      <c r="U109" s="40"/>
      <c r="V109" s="40"/>
      <c r="W109" s="40"/>
      <c r="X109" s="27"/>
      <c r="Y109" s="40"/>
      <c r="Z109" s="39"/>
      <c r="AA109" s="40"/>
      <c r="AB109" s="40"/>
      <c r="AC109" s="40"/>
      <c r="AD109" s="40"/>
      <c r="AE109" s="27"/>
      <c r="AF109" s="40"/>
      <c r="AG109" s="205" t="str">
        <f t="shared" ca="1" si="34"/>
        <v/>
      </c>
      <c r="AH109" s="218"/>
      <c r="AI109" s="238">
        <f t="shared" si="38"/>
        <v>0</v>
      </c>
      <c r="AJ109" s="261"/>
      <c r="AK109" s="224"/>
      <c r="AL109" s="245">
        <f ca="1">IF(EB.Anwendung&lt;&gt;"",IF(MONTH(Monat.Tag1)=1,0,IF(MONTH(Monat.Tag1)=2,January!Monat.P13UeVM,IF(MONTH(Monat.Tag1)=3,February!Monat.P13UeVM,IF(MONTH(Monat.Tag1)=4,March!Monat.P13UeVM,IF(MONTH(Monat.Tag1)=5,April!Monat.P13UeVM,IF(MONTH(Monat.Tag1)=6,May!Monat.P13UeVM,IF(MONTH(Monat.Tag1)=7,June!Monat.P13UeVM,IF(MONTH(Monat.Tag1)=8,July!Monat.P13UeVM,IF(MONTH(Monat.Tag1)=9,August!Monat.P13UeVM,IF(MONTH(Monat.Tag1)=10,September!Monat.P13UeVM,IF(MONTH(Monat.Tag1)=11,October!Monat.P13UeVM,IF(MONTH(Monat.Tag1)=12,November!Monat.P13UeVM,"")))))))))))),"")</f>
        <v>0</v>
      </c>
      <c r="AM109" s="209"/>
      <c r="AN109" s="246">
        <f t="shared" ca="1" si="37"/>
        <v>0</v>
      </c>
      <c r="AO109" s="287"/>
      <c r="AP109" s="287"/>
      <c r="AQ109" s="288"/>
    </row>
    <row r="110" spans="1:43" ht="15" hidden="1" customHeight="1" outlineLevel="1" x14ac:dyDescent="0.2">
      <c r="A110" s="215" t="str">
        <f t="shared" ca="1" si="36"/>
        <v/>
      </c>
      <c r="B110" s="40"/>
      <c r="C110" s="40"/>
      <c r="D110" s="40"/>
      <c r="E110" s="27"/>
      <c r="F110" s="40"/>
      <c r="G110" s="40"/>
      <c r="H110" s="40"/>
      <c r="I110" s="40"/>
      <c r="J110" s="27"/>
      <c r="K110" s="40"/>
      <c r="L110" s="27"/>
      <c r="M110" s="40"/>
      <c r="N110" s="40"/>
      <c r="O110" s="40"/>
      <c r="P110" s="40"/>
      <c r="Q110" s="27"/>
      <c r="R110" s="40"/>
      <c r="S110" s="27"/>
      <c r="T110" s="27"/>
      <c r="U110" s="40"/>
      <c r="V110" s="40"/>
      <c r="W110" s="40"/>
      <c r="X110" s="27"/>
      <c r="Y110" s="40"/>
      <c r="Z110" s="39"/>
      <c r="AA110" s="40"/>
      <c r="AB110" s="40"/>
      <c r="AC110" s="40"/>
      <c r="AD110" s="40"/>
      <c r="AE110" s="27"/>
      <c r="AF110" s="40"/>
      <c r="AG110" s="205" t="str">
        <f t="shared" ca="1" si="34"/>
        <v/>
      </c>
      <c r="AH110" s="218"/>
      <c r="AI110" s="238">
        <f t="shared" si="38"/>
        <v>0</v>
      </c>
      <c r="AJ110" s="261"/>
      <c r="AK110" s="224"/>
      <c r="AL110" s="245">
        <f ca="1">IF(EB.Anwendung&lt;&gt;"",IF(MONTH(Monat.Tag1)=1,0,IF(MONTH(Monat.Tag1)=2,January!Monat.P14UeVM,IF(MONTH(Monat.Tag1)=3,February!Monat.P14UeVM,IF(MONTH(Monat.Tag1)=4,March!Monat.P14UeVM,IF(MONTH(Monat.Tag1)=5,April!Monat.P14UeVM,IF(MONTH(Monat.Tag1)=6,May!Monat.P14UeVM,IF(MONTH(Monat.Tag1)=7,June!Monat.P14UeVM,IF(MONTH(Monat.Tag1)=8,July!Monat.P14UeVM,IF(MONTH(Monat.Tag1)=9,August!Monat.P14UeVM,IF(MONTH(Monat.Tag1)=10,September!Monat.P14UeVM,IF(MONTH(Monat.Tag1)=11,October!Monat.P14UeVM,IF(MONTH(Monat.Tag1)=12,November!Monat.P14UeVM,"")))))))))))),"")</f>
        <v>0</v>
      </c>
      <c r="AM110" s="209"/>
      <c r="AN110" s="246">
        <f t="shared" ca="1" si="37"/>
        <v>0</v>
      </c>
      <c r="AO110" s="287"/>
      <c r="AP110" s="287"/>
      <c r="AQ110" s="123"/>
    </row>
    <row r="111" spans="1:43" ht="15" hidden="1" customHeight="1" outlineLevel="1" x14ac:dyDescent="0.2">
      <c r="A111" s="215" t="str">
        <f t="shared" ca="1" si="36"/>
        <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7"/>
      <c r="AA111" s="40"/>
      <c r="AB111" s="40"/>
      <c r="AC111" s="40"/>
      <c r="AD111" s="40"/>
      <c r="AE111" s="40"/>
      <c r="AF111" s="40"/>
      <c r="AG111" s="205" t="str">
        <f t="shared" ca="1" si="34"/>
        <v/>
      </c>
      <c r="AH111" s="218"/>
      <c r="AI111" s="238">
        <f t="shared" si="38"/>
        <v>0</v>
      </c>
      <c r="AJ111" s="261"/>
      <c r="AK111" s="224"/>
      <c r="AL111" s="245">
        <f ca="1">IF(EB.Anwendung&lt;&gt;"",IF(MONTH(Monat.Tag1)=1,0,IF(MONTH(Monat.Tag1)=2,January!Monat.P15UeVM,IF(MONTH(Monat.Tag1)=3,February!Monat.P15UeVM,IF(MONTH(Monat.Tag1)=4,March!Monat.P15UeVM,IF(MONTH(Monat.Tag1)=5,April!Monat.P15UeVM,IF(MONTH(Monat.Tag1)=6,May!Monat.P15UeVM,IF(MONTH(Monat.Tag1)=7,June!Monat.P15UeVM,IF(MONTH(Monat.Tag1)=8,July!Monat.P15UeVM,IF(MONTH(Monat.Tag1)=9,August!Monat.P15UeVM,IF(MONTH(Monat.Tag1)=10,September!Monat.P15UeVM,IF(MONTH(Monat.Tag1)=11,October!Monat.P15UeVM,IF(MONTH(Monat.Tag1)=12,November!Monat.P15UeVM,"")))))))))))),"")</f>
        <v>0</v>
      </c>
      <c r="AM111" s="209"/>
      <c r="AN111" s="246">
        <f t="shared" ca="1" si="37"/>
        <v>0</v>
      </c>
      <c r="AO111" s="287"/>
      <c r="AP111" s="287"/>
      <c r="AQ111" s="123"/>
    </row>
    <row r="112" spans="1:43" ht="15" customHeight="1" collapsed="1" x14ac:dyDescent="0.2">
      <c r="A112" s="215" t="s">
        <v>168</v>
      </c>
      <c r="B112" s="236">
        <f>SUM(B97:B111)</f>
        <v>0</v>
      </c>
      <c r="C112" s="236">
        <f t="shared" ref="C112:AF112" si="39">SUM(C97:C111)</f>
        <v>0</v>
      </c>
      <c r="D112" s="236">
        <f t="shared" si="39"/>
        <v>0</v>
      </c>
      <c r="E112" s="236">
        <f t="shared" si="39"/>
        <v>0</v>
      </c>
      <c r="F112" s="236">
        <f t="shared" si="39"/>
        <v>0</v>
      </c>
      <c r="G112" s="236">
        <f t="shared" si="39"/>
        <v>0</v>
      </c>
      <c r="H112" s="236">
        <f t="shared" si="39"/>
        <v>0</v>
      </c>
      <c r="I112" s="236">
        <f t="shared" si="39"/>
        <v>0</v>
      </c>
      <c r="J112" s="236">
        <f t="shared" si="39"/>
        <v>0</v>
      </c>
      <c r="K112" s="236">
        <f t="shared" si="39"/>
        <v>0</v>
      </c>
      <c r="L112" s="236">
        <f t="shared" si="39"/>
        <v>0</v>
      </c>
      <c r="M112" s="236">
        <f t="shared" si="39"/>
        <v>0</v>
      </c>
      <c r="N112" s="236">
        <f t="shared" si="39"/>
        <v>0</v>
      </c>
      <c r="O112" s="236">
        <f t="shared" si="39"/>
        <v>0</v>
      </c>
      <c r="P112" s="236">
        <f t="shared" si="39"/>
        <v>0</v>
      </c>
      <c r="Q112" s="236">
        <f t="shared" si="39"/>
        <v>0</v>
      </c>
      <c r="R112" s="236">
        <f t="shared" si="39"/>
        <v>0</v>
      </c>
      <c r="S112" s="236">
        <f t="shared" si="39"/>
        <v>0</v>
      </c>
      <c r="T112" s="236">
        <f t="shared" si="39"/>
        <v>0</v>
      </c>
      <c r="U112" s="236">
        <f t="shared" si="39"/>
        <v>0</v>
      </c>
      <c r="V112" s="236">
        <f t="shared" si="39"/>
        <v>0</v>
      </c>
      <c r="W112" s="236">
        <f t="shared" si="39"/>
        <v>0</v>
      </c>
      <c r="X112" s="236">
        <f t="shared" si="39"/>
        <v>0</v>
      </c>
      <c r="Y112" s="236">
        <f t="shared" si="39"/>
        <v>0</v>
      </c>
      <c r="Z112" s="236">
        <f t="shared" si="39"/>
        <v>0</v>
      </c>
      <c r="AA112" s="236">
        <f t="shared" si="39"/>
        <v>0</v>
      </c>
      <c r="AB112" s="236">
        <f t="shared" si="39"/>
        <v>0</v>
      </c>
      <c r="AC112" s="236">
        <f t="shared" si="39"/>
        <v>0</v>
      </c>
      <c r="AD112" s="236">
        <f t="shared" si="39"/>
        <v>0</v>
      </c>
      <c r="AE112" s="236">
        <f t="shared" si="39"/>
        <v>0</v>
      </c>
      <c r="AF112" s="236">
        <f t="shared" si="39"/>
        <v>0</v>
      </c>
      <c r="AG112" s="217" t="str">
        <f t="shared" si="34"/>
        <v>Hours worked for projects</v>
      </c>
      <c r="AH112" s="218"/>
      <c r="AI112" s="238">
        <f t="shared" si="38"/>
        <v>0</v>
      </c>
      <c r="AJ112" s="261"/>
      <c r="AK112" s="224"/>
      <c r="AL112" s="245">
        <f ca="1">IF(EB.Anwendung&lt;&gt;"",IF(MONTH(Monat.Tag1)=1,0,IF(MONTH(Monat.Tag1)=2,January!Monat.PTotalUeVM,IF(MONTH(Monat.Tag1)=3,February!Monat.PTotalUeVM,IF(MONTH(Monat.Tag1)=4,March!Monat.PTotalUeVM,IF(MONTH(Monat.Tag1)=5,April!Monat.PTotalUeVM,IF(MONTH(Monat.Tag1)=6,May!Monat.PTotalUeVM,IF(MONTH(Monat.Tag1)=7,June!Monat.PTotalUeVM,IF(MONTH(Monat.Tag1)=8,July!Monat.PTotalUeVM,IF(MONTH(Monat.Tag1)=9,August!Monat.PTotalUeVM,IF(MONTH(Monat.Tag1)=10,September!Monat.PTotalUeVM,IF(MONTH(Monat.Tag1)=11,October!Monat.PTotalUeVM,IF(MONTH(Monat.Tag1)=12,November!Monat.PTotalUeVM,"")))))))))))),"")</f>
        <v>0</v>
      </c>
      <c r="AM112" s="209"/>
      <c r="AN112" s="246">
        <f t="shared" ca="1" si="37"/>
        <v>0</v>
      </c>
      <c r="AO112" s="289"/>
      <c r="AP112" s="289"/>
      <c r="AQ112" s="123"/>
    </row>
    <row r="113" spans="1:43" s="38" customFormat="1" ht="11.25" customHeight="1" x14ac:dyDescent="0.2">
      <c r="A113" s="290"/>
      <c r="B113" s="226"/>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91"/>
      <c r="AH113" s="286"/>
      <c r="AI113" s="226"/>
      <c r="AJ113" s="292"/>
      <c r="AK113" s="226"/>
      <c r="AL113" s="226"/>
      <c r="AM113" s="226"/>
      <c r="AN113" s="130"/>
      <c r="AO113" s="226"/>
      <c r="AP113" s="226"/>
      <c r="AQ113" s="119"/>
    </row>
    <row r="114" spans="1:43" s="38" customFormat="1" ht="15" hidden="1" customHeight="1" outlineLevel="1" x14ac:dyDescent="0.2">
      <c r="A114" s="215" t="s">
        <v>225</v>
      </c>
      <c r="B114" s="241">
        <f t="shared" ref="B114:AF114" si="40">ROUND(((B23+B45+B91)-SUMPRODUCT((B97:B111)*(EB.Projektart.Bereich=6)))*1440,0)/1440</f>
        <v>0</v>
      </c>
      <c r="C114" s="241">
        <f t="shared" si="40"/>
        <v>0</v>
      </c>
      <c r="D114" s="241">
        <f t="shared" si="40"/>
        <v>0</v>
      </c>
      <c r="E114" s="241">
        <f t="shared" si="40"/>
        <v>0</v>
      </c>
      <c r="F114" s="241">
        <f t="shared" si="40"/>
        <v>0</v>
      </c>
      <c r="G114" s="241">
        <f t="shared" si="40"/>
        <v>0</v>
      </c>
      <c r="H114" s="241">
        <f t="shared" si="40"/>
        <v>0</v>
      </c>
      <c r="I114" s="241">
        <f t="shared" si="40"/>
        <v>0</v>
      </c>
      <c r="J114" s="241">
        <f t="shared" si="40"/>
        <v>0</v>
      </c>
      <c r="K114" s="241">
        <f t="shared" si="40"/>
        <v>0</v>
      </c>
      <c r="L114" s="241">
        <f t="shared" si="40"/>
        <v>0</v>
      </c>
      <c r="M114" s="241">
        <f t="shared" si="40"/>
        <v>0</v>
      </c>
      <c r="N114" s="241">
        <f t="shared" si="40"/>
        <v>0</v>
      </c>
      <c r="O114" s="241">
        <f t="shared" si="40"/>
        <v>0</v>
      </c>
      <c r="P114" s="241">
        <f t="shared" si="40"/>
        <v>0</v>
      </c>
      <c r="Q114" s="241">
        <f t="shared" si="40"/>
        <v>0</v>
      </c>
      <c r="R114" s="241">
        <f t="shared" si="40"/>
        <v>0</v>
      </c>
      <c r="S114" s="241">
        <f t="shared" si="40"/>
        <v>0</v>
      </c>
      <c r="T114" s="241">
        <f t="shared" si="40"/>
        <v>0</v>
      </c>
      <c r="U114" s="241">
        <f t="shared" si="40"/>
        <v>0</v>
      </c>
      <c r="V114" s="241">
        <f t="shared" si="40"/>
        <v>0</v>
      </c>
      <c r="W114" s="241">
        <f t="shared" si="40"/>
        <v>0</v>
      </c>
      <c r="X114" s="241">
        <f t="shared" si="40"/>
        <v>0</v>
      </c>
      <c r="Y114" s="241">
        <f t="shared" si="40"/>
        <v>0</v>
      </c>
      <c r="Z114" s="241">
        <f t="shared" si="40"/>
        <v>0</v>
      </c>
      <c r="AA114" s="241">
        <f t="shared" si="40"/>
        <v>0</v>
      </c>
      <c r="AB114" s="241">
        <f t="shared" si="40"/>
        <v>0</v>
      </c>
      <c r="AC114" s="241">
        <f t="shared" si="40"/>
        <v>0</v>
      </c>
      <c r="AD114" s="241">
        <f t="shared" si="40"/>
        <v>0</v>
      </c>
      <c r="AE114" s="241">
        <f t="shared" si="40"/>
        <v>0</v>
      </c>
      <c r="AF114" s="241">
        <f t="shared" si="40"/>
        <v>0</v>
      </c>
      <c r="AG114" s="217" t="str">
        <f t="shared" ref="AG114" si="41">A114</f>
        <v>Difference WH-Project type 6</v>
      </c>
      <c r="AH114" s="228"/>
      <c r="AI114" s="238">
        <f>SUM(B114:AF114)</f>
        <v>0</v>
      </c>
      <c r="AJ114" s="261"/>
      <c r="AK114" s="262"/>
      <c r="AL114" s="245">
        <f ca="1">IF(EB.Anwendung&lt;&gt;"",IF(MONTH(Monat.Tag1)=1,0,IF(MONTH(Monat.Tag1)=2,January!Monat.PDiffUeVM,IF(MONTH(Monat.Tag1)=3,February!Monat.PDiffUeVM,IF(MONTH(Monat.Tag1)=4,March!Monat.PDiffUeVM,IF(MONTH(Monat.Tag1)=5,April!Monat.PDiffUeVM,IF(MONTH(Monat.Tag1)=6,May!Monat.PDiffUeVM,IF(MONTH(Monat.Tag1)=7,June!Monat.PDiffUeVM,IF(MONTH(Monat.Tag1)=8,July!Monat.PDiffUeVM,IF(MONTH(Monat.Tag1)=9,August!Monat.PDiffUeVM,IF(MONTH(Monat.Tag1)=10,September!Monat.PDiffUeVM,IF(MONTH(Monat.Tag1)=11,October!Monat.PDiffUeVM,IF(MONTH(Monat.Tag1)=12,November!Monat.PDiffUeVM,"")))))))))))),"")</f>
        <v>0</v>
      </c>
      <c r="AM114" s="262"/>
      <c r="AN114" s="246">
        <f ca="1">AI114+AL114</f>
        <v>0</v>
      </c>
      <c r="AO114" s="262"/>
      <c r="AP114" s="262"/>
      <c r="AQ114" s="119"/>
    </row>
    <row r="115" spans="1:43" ht="11.25" hidden="1" customHeight="1" outlineLevel="1" x14ac:dyDescent="0.2">
      <c r="A115" s="123"/>
      <c r="B115" s="293"/>
      <c r="C115" s="293"/>
      <c r="D115" s="293"/>
      <c r="E115" s="293"/>
      <c r="F115" s="293"/>
      <c r="G115" s="293"/>
      <c r="H115" s="293"/>
      <c r="I115" s="293"/>
      <c r="J115" s="294"/>
      <c r="K115" s="293"/>
      <c r="L115" s="293"/>
      <c r="M115" s="293"/>
      <c r="N115" s="293"/>
      <c r="O115" s="293"/>
      <c r="P115" s="293"/>
      <c r="Q115" s="293"/>
      <c r="R115" s="293"/>
      <c r="S115" s="293"/>
      <c r="T115" s="293"/>
      <c r="U115" s="293"/>
      <c r="V115" s="293"/>
      <c r="W115" s="293"/>
      <c r="X115" s="293"/>
      <c r="Y115" s="293"/>
      <c r="Z115" s="293"/>
      <c r="AA115" s="293"/>
      <c r="AB115" s="293"/>
      <c r="AC115" s="293"/>
      <c r="AD115" s="293"/>
      <c r="AE115" s="293"/>
      <c r="AF115" s="293"/>
      <c r="AG115" s="295"/>
      <c r="AH115" s="296"/>
      <c r="AI115" s="123"/>
      <c r="AJ115" s="123"/>
      <c r="AK115" s="123"/>
      <c r="AL115" s="123"/>
      <c r="AM115" s="123"/>
      <c r="AN115" s="297"/>
      <c r="AO115" s="123"/>
      <c r="AP115" s="123"/>
      <c r="AQ115" s="123"/>
    </row>
    <row r="116" spans="1:43" ht="11.25" customHeight="1" collapsed="1" x14ac:dyDescent="0.2">
      <c r="A116" s="123"/>
      <c r="B116" s="293"/>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293"/>
      <c r="AA116" s="293"/>
      <c r="AB116" s="293"/>
      <c r="AC116" s="293"/>
      <c r="AD116" s="293"/>
      <c r="AE116" s="293"/>
      <c r="AF116" s="293"/>
      <c r="AG116" s="295"/>
      <c r="AH116" s="296"/>
      <c r="AI116" s="123"/>
      <c r="AJ116" s="123"/>
      <c r="AK116" s="123"/>
      <c r="AL116" s="123"/>
      <c r="AM116" s="123"/>
      <c r="AN116" s="297"/>
      <c r="AO116" s="123"/>
      <c r="AP116" s="123"/>
      <c r="AQ116" s="123"/>
    </row>
    <row r="117" spans="1:43" ht="12" customHeight="1" x14ac:dyDescent="0.2">
      <c r="A117" s="123"/>
      <c r="B117" s="490" t="s">
        <v>226</v>
      </c>
      <c r="C117" s="490"/>
      <c r="D117" s="490"/>
      <c r="E117" s="490"/>
      <c r="F117" s="490"/>
      <c r="G117" s="490"/>
      <c r="H117" s="490"/>
      <c r="I117" s="490"/>
      <c r="J117" s="490"/>
      <c r="K117" s="490"/>
      <c r="L117" s="490"/>
      <c r="M117" s="490"/>
      <c r="N117" s="490"/>
      <c r="O117" s="490"/>
      <c r="P117" s="490"/>
      <c r="Q117" s="490"/>
      <c r="R117" s="298"/>
      <c r="S117" s="298"/>
      <c r="T117" s="298"/>
      <c r="U117" s="298"/>
      <c r="V117" s="298"/>
      <c r="W117" s="298"/>
      <c r="X117" s="298"/>
      <c r="Y117" s="298"/>
      <c r="Z117" s="298"/>
      <c r="AA117" s="298"/>
      <c r="AB117" s="298"/>
      <c r="AC117" s="298"/>
      <c r="AD117" s="298"/>
      <c r="AE117" s="298"/>
      <c r="AF117" s="298"/>
      <c r="AG117" s="299"/>
      <c r="AH117" s="300"/>
      <c r="AI117" s="298"/>
      <c r="AJ117" s="298"/>
      <c r="AK117" s="298"/>
      <c r="AL117" s="298"/>
      <c r="AM117" s="298"/>
      <c r="AN117" s="301"/>
      <c r="AO117" s="288"/>
      <c r="AP117" s="288"/>
      <c r="AQ117" s="123"/>
    </row>
    <row r="118" spans="1:43" ht="11.25" customHeight="1" x14ac:dyDescent="0.2">
      <c r="A118" s="302"/>
      <c r="B118" s="302"/>
      <c r="C118" s="302"/>
      <c r="D118" s="302"/>
      <c r="E118" s="302"/>
      <c r="F118" s="302"/>
      <c r="G118" s="302"/>
      <c r="H118" s="302"/>
      <c r="I118" s="302"/>
      <c r="J118" s="302"/>
      <c r="K118" s="302"/>
      <c r="L118" s="302"/>
      <c r="M118" s="298"/>
      <c r="N118" s="298"/>
      <c r="O118" s="298"/>
      <c r="P118" s="298"/>
      <c r="Q118" s="298"/>
      <c r="R118" s="298"/>
      <c r="S118" s="298"/>
      <c r="T118" s="298"/>
      <c r="U118" s="298"/>
      <c r="V118" s="298"/>
      <c r="W118" s="298"/>
      <c r="X118" s="298"/>
      <c r="Y118" s="298"/>
      <c r="Z118" s="298"/>
      <c r="AA118" s="298"/>
      <c r="AB118" s="298"/>
      <c r="AC118" s="298"/>
      <c r="AD118" s="298"/>
      <c r="AE118" s="298"/>
      <c r="AF118" s="298"/>
      <c r="AG118" s="298"/>
      <c r="AH118" s="298"/>
      <c r="AI118" s="298"/>
      <c r="AJ118" s="298"/>
      <c r="AK118" s="298"/>
      <c r="AL118" s="298"/>
      <c r="AM118" s="298"/>
      <c r="AN118" s="298"/>
      <c r="AO118" s="298"/>
      <c r="AP118" s="298"/>
      <c r="AQ118" s="123"/>
    </row>
    <row r="119" spans="1:43" ht="39" customHeight="1" x14ac:dyDescent="0.2">
      <c r="A119" s="135" t="s">
        <v>227</v>
      </c>
      <c r="B119" s="491"/>
      <c r="C119" s="491"/>
      <c r="D119" s="491"/>
      <c r="E119" s="491"/>
      <c r="F119" s="491"/>
      <c r="G119" s="491"/>
      <c r="H119" s="491"/>
      <c r="I119" s="491"/>
      <c r="J119" s="491"/>
      <c r="K119" s="491"/>
      <c r="L119" s="491"/>
      <c r="M119" s="491"/>
      <c r="N119" s="491"/>
      <c r="O119" s="491"/>
      <c r="P119" s="491"/>
      <c r="Q119" s="491"/>
      <c r="R119" s="298"/>
      <c r="S119" s="298"/>
      <c r="T119" s="298"/>
      <c r="U119" s="298"/>
      <c r="V119" s="298"/>
      <c r="W119" s="298"/>
      <c r="X119" s="298"/>
      <c r="Y119" s="492"/>
      <c r="Z119" s="492"/>
      <c r="AA119" s="492"/>
      <c r="AB119" s="492"/>
      <c r="AC119" s="492"/>
      <c r="AD119" s="492"/>
      <c r="AE119" s="492"/>
      <c r="AF119" s="492"/>
      <c r="AG119" s="494" t="str">
        <f ca="1">IF(AG67&lt;&gt;Monat.KomAZText,AG67 &amp; CHAR(10),"") &amp;
IF(AG84&lt;&gt;Monat.FerienText,AG84,"")</f>
        <v/>
      </c>
      <c r="AH119" s="494"/>
      <c r="AI119" s="494"/>
      <c r="AJ119" s="494"/>
      <c r="AK119" s="494"/>
      <c r="AL119" s="494"/>
      <c r="AM119" s="494"/>
      <c r="AN119" s="494"/>
      <c r="AO119" s="494"/>
      <c r="AP119" s="494"/>
      <c r="AQ119" s="123"/>
    </row>
    <row r="120" spans="1:43" ht="12" customHeight="1" x14ac:dyDescent="0.2">
      <c r="A120" s="442" t="s">
        <v>228</v>
      </c>
      <c r="B120" s="495"/>
      <c r="C120" s="495"/>
      <c r="D120" s="495"/>
      <c r="E120" s="495"/>
      <c r="F120" s="495"/>
      <c r="G120" s="495"/>
      <c r="H120" s="495"/>
      <c r="I120" s="495"/>
      <c r="J120" s="495"/>
      <c r="K120" s="495"/>
      <c r="L120" s="495"/>
      <c r="M120" s="495"/>
      <c r="N120" s="495"/>
      <c r="O120" s="495"/>
      <c r="P120" s="495"/>
      <c r="Q120" s="495"/>
      <c r="R120" s="298"/>
      <c r="S120" s="298"/>
      <c r="T120" s="496" t="s">
        <v>234</v>
      </c>
      <c r="U120" s="496"/>
      <c r="V120" s="496"/>
      <c r="W120" s="496"/>
      <c r="X120" s="496"/>
      <c r="Y120" s="493"/>
      <c r="Z120" s="493"/>
      <c r="AA120" s="493"/>
      <c r="AB120" s="493"/>
      <c r="AC120" s="493"/>
      <c r="AD120" s="493"/>
      <c r="AE120" s="493"/>
      <c r="AF120" s="493"/>
      <c r="AG120" s="494"/>
      <c r="AH120" s="494"/>
      <c r="AI120" s="494"/>
      <c r="AJ120" s="494"/>
      <c r="AK120" s="494"/>
      <c r="AL120" s="494"/>
      <c r="AM120" s="494"/>
      <c r="AN120" s="494"/>
      <c r="AO120" s="494"/>
      <c r="AP120" s="494"/>
      <c r="AQ120" s="123"/>
    </row>
    <row r="121" spans="1:43" ht="11.25" customHeight="1" x14ac:dyDescent="0.2">
      <c r="A121" s="304"/>
      <c r="B121" s="305"/>
      <c r="C121" s="305"/>
      <c r="D121" s="305"/>
      <c r="E121" s="305"/>
      <c r="F121" s="305"/>
      <c r="G121" s="305"/>
      <c r="H121" s="305"/>
      <c r="I121" s="305"/>
      <c r="J121" s="305"/>
      <c r="K121" s="305"/>
      <c r="L121" s="305"/>
      <c r="M121" s="293"/>
      <c r="N121" s="293"/>
      <c r="O121" s="293"/>
      <c r="P121" s="293"/>
      <c r="Q121" s="293"/>
      <c r="R121" s="293"/>
      <c r="S121" s="298"/>
      <c r="T121" s="293"/>
      <c r="U121" s="293"/>
      <c r="V121" s="293"/>
      <c r="W121" s="293"/>
      <c r="X121" s="293"/>
      <c r="Y121" s="293"/>
      <c r="Z121" s="293"/>
      <c r="AA121" s="293"/>
      <c r="AB121" s="293"/>
      <c r="AC121" s="293"/>
      <c r="AD121" s="293"/>
      <c r="AE121" s="293"/>
      <c r="AF121" s="293"/>
      <c r="AG121" s="295"/>
      <c r="AH121" s="296"/>
      <c r="AI121" s="123"/>
      <c r="AJ121" s="123"/>
      <c r="AK121" s="123"/>
      <c r="AL121" s="123"/>
      <c r="AM121" s="123"/>
      <c r="AN121" s="297"/>
      <c r="AO121" s="123"/>
      <c r="AP121" s="123"/>
      <c r="AQ121" s="123"/>
    </row>
    <row r="122" spans="1:43" ht="12" customHeight="1" x14ac:dyDescent="0.2">
      <c r="A122" s="123"/>
      <c r="B122" s="482" t="s">
        <v>91</v>
      </c>
      <c r="C122" s="482"/>
      <c r="D122" s="482"/>
      <c r="E122" s="482"/>
      <c r="F122" s="482"/>
      <c r="G122" s="482"/>
      <c r="H122" s="482"/>
      <c r="I122" s="482"/>
      <c r="J122" s="482"/>
      <c r="K122" s="482"/>
      <c r="L122" s="482"/>
      <c r="M122" s="482"/>
      <c r="N122" s="482"/>
      <c r="O122" s="482"/>
      <c r="P122" s="482"/>
      <c r="Q122" s="482"/>
      <c r="R122" s="293"/>
      <c r="S122" s="293"/>
      <c r="T122" s="293"/>
      <c r="U122" s="293"/>
      <c r="V122" s="293"/>
      <c r="W122" s="293"/>
      <c r="X122" s="293"/>
      <c r="Y122" s="293"/>
      <c r="Z122" s="293"/>
      <c r="AA122" s="293"/>
      <c r="AB122" s="293"/>
      <c r="AC122" s="293"/>
      <c r="AD122" s="293"/>
      <c r="AE122" s="293"/>
      <c r="AF122" s="293"/>
      <c r="AG122" s="295"/>
      <c r="AH122" s="296"/>
      <c r="AI122" s="123"/>
      <c r="AJ122" s="123"/>
      <c r="AK122" s="123"/>
      <c r="AL122" s="123"/>
      <c r="AM122" s="123"/>
      <c r="AN122" s="297"/>
      <c r="AO122" s="123"/>
      <c r="AP122" s="123"/>
      <c r="AQ122" s="123"/>
    </row>
    <row r="123" spans="1:43" ht="11.25" customHeight="1" x14ac:dyDescent="0.2">
      <c r="A123" s="123"/>
      <c r="B123" s="293"/>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293"/>
      <c r="Z123" s="293"/>
      <c r="AA123" s="293"/>
      <c r="AB123" s="293"/>
      <c r="AC123" s="293"/>
      <c r="AD123" s="293"/>
      <c r="AE123" s="293"/>
      <c r="AF123" s="293"/>
      <c r="AG123" s="295"/>
      <c r="AH123" s="296"/>
      <c r="AI123" s="123"/>
      <c r="AJ123" s="123"/>
      <c r="AK123" s="123"/>
      <c r="AL123" s="123"/>
      <c r="AM123" s="123"/>
      <c r="AN123" s="297"/>
      <c r="AO123" s="123"/>
      <c r="AP123" s="123"/>
      <c r="AQ123" s="123"/>
    </row>
    <row r="124" spans="1:43" ht="11.25" customHeight="1" x14ac:dyDescent="0.2">
      <c r="A124" s="298"/>
      <c r="B124" s="298"/>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c r="AA124" s="298"/>
      <c r="AB124" s="298"/>
      <c r="AC124" s="298"/>
      <c r="AD124" s="298"/>
      <c r="AE124" s="298"/>
      <c r="AF124" s="298"/>
      <c r="AG124" s="298"/>
      <c r="AH124" s="298"/>
      <c r="AI124" s="298"/>
      <c r="AJ124" s="298"/>
      <c r="AK124" s="298"/>
      <c r="AL124" s="298"/>
      <c r="AM124" s="298"/>
      <c r="AN124" s="298"/>
      <c r="AO124" s="298"/>
      <c r="AP124" s="298"/>
      <c r="AQ124" s="123"/>
    </row>
    <row r="125" spans="1:43" x14ac:dyDescent="0.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row>
    <row r="126" spans="1:43"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row>
    <row r="127" spans="1:43"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row>
    <row r="128" spans="1:43" x14ac:dyDescent="0.2">
      <c r="AG128" s="50"/>
      <c r="AH128" s="50"/>
      <c r="AN128" s="50"/>
    </row>
    <row r="129" spans="33:40" x14ac:dyDescent="0.2">
      <c r="AG129" s="50"/>
      <c r="AH129" s="50"/>
      <c r="AN129" s="50"/>
    </row>
    <row r="130" spans="33:40" x14ac:dyDescent="0.2">
      <c r="AG130" s="50"/>
      <c r="AH130" s="50"/>
      <c r="AN130" s="50"/>
    </row>
    <row r="131" spans="33:40" x14ac:dyDescent="0.2">
      <c r="AG131" s="50"/>
      <c r="AH131" s="50"/>
      <c r="AN131" s="50"/>
    </row>
    <row r="132" spans="33:40" x14ac:dyDescent="0.2">
      <c r="AG132" s="50"/>
      <c r="AH132" s="50"/>
      <c r="AN132" s="50"/>
    </row>
    <row r="133" spans="33:40" x14ac:dyDescent="0.2">
      <c r="AG133" s="50"/>
      <c r="AH133" s="50"/>
      <c r="AN133" s="50"/>
    </row>
    <row r="134" spans="33:40" x14ac:dyDescent="0.2">
      <c r="AG134" s="50"/>
      <c r="AH134" s="50"/>
      <c r="AN134" s="50"/>
    </row>
    <row r="135" spans="33:40" x14ac:dyDescent="0.2">
      <c r="AG135" s="50"/>
      <c r="AH135" s="50"/>
      <c r="AN135" s="50"/>
    </row>
    <row r="136" spans="33:40" x14ac:dyDescent="0.2">
      <c r="AG136" s="50"/>
      <c r="AH136" s="50"/>
      <c r="AN136" s="50"/>
    </row>
    <row r="137" spans="33:40" x14ac:dyDescent="0.2">
      <c r="AG137" s="50"/>
      <c r="AH137" s="50"/>
      <c r="AN137" s="50"/>
    </row>
    <row r="138" spans="33:40" x14ac:dyDescent="0.2">
      <c r="AG138" s="50"/>
      <c r="AH138" s="50"/>
      <c r="AN138" s="50"/>
    </row>
    <row r="139" spans="33:40" x14ac:dyDescent="0.2">
      <c r="AG139" s="50"/>
      <c r="AH139" s="50"/>
      <c r="AN139" s="50"/>
    </row>
    <row r="140" spans="33:40" x14ac:dyDescent="0.2">
      <c r="AG140" s="50"/>
      <c r="AH140" s="50"/>
      <c r="AN140" s="50"/>
    </row>
  </sheetData>
  <sheetProtection sheet="1" objects="1" scenarios="1"/>
  <mergeCells count="26">
    <mergeCell ref="B6:E6"/>
    <mergeCell ref="F6:N6"/>
    <mergeCell ref="B1:L1"/>
    <mergeCell ref="AO1:AP1"/>
    <mergeCell ref="B2:E2"/>
    <mergeCell ref="F2:N2"/>
    <mergeCell ref="P2:U2"/>
    <mergeCell ref="B3:E3"/>
    <mergeCell ref="F3:N3"/>
    <mergeCell ref="P3:U3"/>
    <mergeCell ref="B4:E4"/>
    <mergeCell ref="F4:N4"/>
    <mergeCell ref="P4:U4"/>
    <mergeCell ref="B5:E5"/>
    <mergeCell ref="F5:N5"/>
    <mergeCell ref="B122:Q122"/>
    <mergeCell ref="B7:E7"/>
    <mergeCell ref="F7:N7"/>
    <mergeCell ref="AH10:AI10"/>
    <mergeCell ref="AO10:AP10"/>
    <mergeCell ref="B117:Q117"/>
    <mergeCell ref="B119:Q119"/>
    <mergeCell ref="Y119:AF120"/>
    <mergeCell ref="AG119:AP120"/>
    <mergeCell ref="B120:Q120"/>
    <mergeCell ref="T120:X120"/>
  </mergeCells>
  <conditionalFormatting sqref="B114:AF114 AI114">
    <cfRule type="expression" dxfId="300" priority="13">
      <formula>ABS(B$114)&gt;=ROUND(1/24/60,9)</formula>
    </cfRule>
  </conditionalFormatting>
  <conditionalFormatting sqref="B13:AF22 B34:AF44 B25:AF30 B60:AF61 B67:AF67 B71:AF72 B84:AF84 B86:AF95 B97:AF111">
    <cfRule type="expression" dxfId="299" priority="11">
      <formula>WEEKDAY(B$10,2)&gt;5</formula>
    </cfRule>
    <cfRule type="expression" dxfId="298" priority="12">
      <formula>AND(NOT(ISERROR(MATCH(B$10,T.Feiertage.Bereich,0))),OFFSET(T.Feiertage.Bereich,MATCH(B$10,T.Feiertage.Bereich,0)-1,1,1,1)&gt;0)</formula>
    </cfRule>
    <cfRule type="expression" dxfId="297" priority="14">
      <formula>B$11=0</formula>
    </cfRule>
  </conditionalFormatting>
  <conditionalFormatting sqref="AN60:AO60">
    <cfRule type="expression" dxfId="296" priority="19">
      <formula>AND(T.50_Vetsuisse,AN60&gt;=T.GrenzeAngÜZ50_Vetsuisse)</formula>
    </cfRule>
    <cfRule type="expression" dxfId="295" priority="20">
      <formula>AND(T.50_Vetsuisse,AN60&gt;T.GrenzeAngÜZ50_Vetsuisse*T.AngÜZ50_Vetsuisse_orange)</formula>
    </cfRule>
  </conditionalFormatting>
  <conditionalFormatting sqref="B56:AF56">
    <cfRule type="expression" dxfId="294" priority="5">
      <formula>AND(B$10&gt;TODAY(),EB.UJAustritt="")</formula>
    </cfRule>
    <cfRule type="expression" dxfId="293" priority="6">
      <formula>B$56&gt;99.99/24</formula>
    </cfRule>
    <cfRule type="expression" dxfId="292" priority="8">
      <formula>B$56&lt;99.99/24*-1</formula>
    </cfRule>
  </conditionalFormatting>
  <conditionalFormatting sqref="AO55:AP55">
    <cfRule type="cellIs" dxfId="291" priority="21" operator="greaterThan">
      <formula>1/24/60</formula>
    </cfRule>
    <cfRule type="expression" dxfId="290" priority="22">
      <formula>AND(AO55&lt;=1/24/60*-1,TODAY()&gt;=DATE(EB.Jahr,MONTH(12),DAY(31)))</formula>
    </cfRule>
  </conditionalFormatting>
  <conditionalFormatting sqref="B56:AF56 AI58">
    <cfRule type="expression" dxfId="289" priority="7">
      <formula>B$56&gt;1/24/60</formula>
    </cfRule>
    <cfRule type="expression" dxfId="288" priority="9">
      <formula>AND(B$56&lt;=1/24/60*-1,B$56)</formula>
    </cfRule>
  </conditionalFormatting>
  <conditionalFormatting sqref="B14:AF22 B36:AF44 B26:AF30">
    <cfRule type="expression" dxfId="287" priority="3">
      <formula>AND(B14&lt;B13,B14&lt;&gt;"")</formula>
    </cfRule>
  </conditionalFormatting>
  <conditionalFormatting sqref="B72:AF73">
    <cfRule type="expression" dxfId="286" priority="10">
      <formula>AND(T.50_Vetsuisse,OR(AND(B$72&lt;&gt;INDEX(T.JaNein.Bereich,1,1),B$72&lt;&gt;INDEX(T.JaNein.Bereich,2,1),B$73&lt;&gt;0,MOD(IFERROR(MATCH(1,B$13:B$22,0),1),2)=0),AND(B$72=INDEX(T.JaNein.Bereich,1,1),OR(B$73=0,MOD(IFERROR(MATCH(1,B$13:B$22,0),1),2)&lt;&gt;0))))</formula>
    </cfRule>
  </conditionalFormatting>
  <conditionalFormatting sqref="P4:U4">
    <cfRule type="expression" dxfId="285" priority="15">
      <formula>$P$4&lt;&gt;""</formula>
    </cfRule>
  </conditionalFormatting>
  <conditionalFormatting sqref="V4">
    <cfRule type="expression" dxfId="284" priority="16">
      <formula>$V$4&lt;&gt;""</formula>
    </cfRule>
  </conditionalFormatting>
  <conditionalFormatting sqref="AP60">
    <cfRule type="expression" dxfId="283" priority="23">
      <formula>AND(T.50_Vetsuisse,AP60&gt;=T.GrenzeAngÜZ50_Vetsuisse)</formula>
    </cfRule>
    <cfRule type="expression" dxfId="282" priority="24">
      <formula>AND(T.50_Vetsuisse,AP60&gt;T.GrenzeAngÜZ50_Vetsuisse*T.AngÜZ50_Vetsuisse_orange)</formula>
    </cfRule>
  </conditionalFormatting>
  <conditionalFormatting sqref="AJ72:AJ73">
    <cfRule type="expression" dxfId="281" priority="17">
      <formula>AND(T.50_Vetsuisse,$AJ$72&lt;&gt;$AJ$73)</formula>
    </cfRule>
    <cfRule type="expression" dxfId="280" priority="18">
      <formula>$AJ$72&gt;$AJ$73</formula>
    </cfRule>
  </conditionalFormatting>
  <conditionalFormatting sqref="B55:AF55">
    <cfRule type="expression" dxfId="279" priority="4">
      <formula>AND(B$10&lt;=TODAY(),B$55&lt;1/24/60*-1)</formula>
    </cfRule>
  </conditionalFormatting>
  <conditionalFormatting sqref="AG67 AG84">
    <cfRule type="expression" dxfId="278" priority="2">
      <formula>AG67&lt;&gt;A67</formula>
    </cfRule>
  </conditionalFormatting>
  <conditionalFormatting sqref="B67:AF67">
    <cfRule type="expression" dxfId="277" priority="1">
      <formula>AND(B66=0,B67&gt;0)</formula>
    </cfRule>
  </conditionalFormatting>
  <dataValidations count="2">
    <dataValidation type="list" allowBlank="1" showInputMessage="1" showErrorMessage="1" errorTitle="Start pl. night shift" error="Please choose a value from the drop-down list." sqref="B72:AF72" xr:uid="{32B8B4B0-6376-444D-B984-0440E5438D56}">
      <formula1>T.JaNein.Bereich</formula1>
    </dataValidation>
    <dataValidation type="list" allowBlank="1" showInputMessage="1" showErrorMessage="1" errorTitle="Pikett Bereitschaft" error="Bitte wählen Sie einen Wert aus der Liste." sqref="B34:AF34" xr:uid="{5F3D2F1F-A5CD-4A3A-9C79-06A7BDDAC959}">
      <formula1>T.Pikett.Bereich</formula1>
    </dataValidation>
  </dataValidations>
  <printOptions horizontalCentered="1"/>
  <pageMargins left="0.19685039370078741" right="0.19685039370078741" top="0.39370078740157483" bottom="0.39370078740157483" header="0.31496062992125984" footer="0.19685039370078741"/>
  <pageSetup paperSize="9" scale="30" orientation="landscape" horizontalDpi="4294967292" verticalDpi="4294967292" r:id="rId1"/>
  <headerFooter alignWithMargins="0">
    <oddFooter>&amp;L&amp;"Arial,Standard"&amp;11Monatsabrechnung &amp;A&amp;C&amp;"Arial,Standard"&amp;11&amp;D&amp;R&amp;"Arial,Standard"&amp;11&amp;P /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39DB7-8407-42D1-941E-D3669BE611F8}">
  <sheetPr>
    <pageSetUpPr fitToPage="1"/>
  </sheetPr>
  <dimension ref="A1:AO140"/>
  <sheetViews>
    <sheetView showGridLines="0" zoomScale="85" zoomScaleNormal="85" zoomScalePageLayoutView="85" workbookViewId="0">
      <pane xSplit="1" ySplit="10" topLeftCell="B11" activePane="bottomRight" state="frozenSplit"/>
      <selection activeCell="Q8" sqref="Q8:AF11"/>
      <selection pane="topRight" activeCell="Q8" sqref="Q8:AF11"/>
      <selection pane="bottomLeft" activeCell="Q8" sqref="Q8:AF11"/>
      <selection pane="bottomRight" activeCell="B13" sqref="B13"/>
    </sheetView>
  </sheetViews>
  <sheetFormatPr baseColWidth="10" defaultColWidth="10.75" defaultRowHeight="12.75" outlineLevelRow="1" outlineLevelCol="1" x14ac:dyDescent="0.2"/>
  <cols>
    <col min="1" max="1" width="24.5" style="50" customWidth="1"/>
    <col min="2" max="30" width="5.75" style="50" customWidth="1"/>
    <col min="31" max="31" width="24.5" style="52" customWidth="1"/>
    <col min="32" max="32" width="2.125" style="53" customWidth="1"/>
    <col min="33" max="34" width="8.125" style="50" customWidth="1"/>
    <col min="35" max="35" width="15.875" style="50" hidden="1" customWidth="1" outlineLevel="1"/>
    <col min="36" max="37" width="14.25" style="50" hidden="1" customWidth="1" outlineLevel="1"/>
    <col min="38" max="38" width="9.375" style="37" customWidth="1" collapsed="1"/>
    <col min="39" max="40" width="8.125" style="50" customWidth="1"/>
    <col min="41" max="41" width="3.75" style="50" customWidth="1"/>
    <col min="42" max="16384" width="10.75" style="50"/>
  </cols>
  <sheetData>
    <row r="1" spans="1:41" s="54" customFormat="1" ht="22.5" customHeight="1" x14ac:dyDescent="0.2">
      <c r="A1" s="181" t="str">
        <f>INDEX(EB.Monate.Bereich,MONTH(Monat.Tag1)) &amp; " " &amp; EB.Jahr</f>
        <v>February 2020</v>
      </c>
      <c r="B1" s="470" t="str">
        <f>Eingabeblatt!B1</f>
        <v>Employee Time Sheet</v>
      </c>
      <c r="C1" s="470"/>
      <c r="D1" s="470"/>
      <c r="E1" s="470"/>
      <c r="F1" s="470"/>
      <c r="G1" s="470"/>
      <c r="H1" s="470"/>
      <c r="I1" s="470"/>
      <c r="J1" s="470"/>
      <c r="K1" s="470"/>
      <c r="L1" s="470"/>
      <c r="M1" s="101"/>
      <c r="N1" s="101"/>
      <c r="O1" s="101"/>
      <c r="P1" s="101"/>
      <c r="Q1" s="101"/>
      <c r="R1" s="182"/>
      <c r="S1" s="101"/>
      <c r="T1" s="101"/>
      <c r="U1" s="101"/>
      <c r="V1" s="183"/>
      <c r="W1" s="183"/>
      <c r="X1" s="101"/>
      <c r="Y1" s="182"/>
      <c r="Z1" s="101"/>
      <c r="AA1" s="101"/>
      <c r="AB1" s="101"/>
      <c r="AC1" s="101"/>
      <c r="AD1" s="101"/>
      <c r="AE1" s="184"/>
      <c r="AF1" s="185"/>
      <c r="AG1" s="101"/>
      <c r="AH1" s="101"/>
      <c r="AI1" s="101"/>
      <c r="AJ1" s="101"/>
      <c r="AK1" s="101"/>
      <c r="AL1" s="440"/>
      <c r="AM1" s="498" t="str">
        <f>EB.Version</f>
        <v>Version 12.19</v>
      </c>
      <c r="AN1" s="498"/>
      <c r="AO1" s="103" t="str">
        <f>EB.Sprache</f>
        <v>EN</v>
      </c>
    </row>
    <row r="2" spans="1:41" s="38" customFormat="1" ht="15" customHeight="1" x14ac:dyDescent="0.2">
      <c r="A2" s="135"/>
      <c r="B2" s="461" t="str">
        <f>Eingabeblatt!A3</f>
        <v>Name</v>
      </c>
      <c r="C2" s="474"/>
      <c r="D2" s="474"/>
      <c r="E2" s="462"/>
      <c r="F2" s="499" t="str">
        <f>IF(EB.Name="","?",EB.Name)</f>
        <v>?</v>
      </c>
      <c r="G2" s="500"/>
      <c r="H2" s="500"/>
      <c r="I2" s="500"/>
      <c r="J2" s="500"/>
      <c r="K2" s="500"/>
      <c r="L2" s="500"/>
      <c r="M2" s="500"/>
      <c r="N2" s="501"/>
      <c r="O2" s="186"/>
      <c r="P2" s="461" t="str">
        <f>Eingabeblatt!J7</f>
        <v>Employment Level (FTE) in %</v>
      </c>
      <c r="Q2" s="474"/>
      <c r="R2" s="474"/>
      <c r="S2" s="474"/>
      <c r="T2" s="474"/>
      <c r="U2" s="462"/>
      <c r="V2" s="14">
        <f>IF(INDEX(EB.EffBG.Bereich,MONTH(Monat.Tag1))="","-     ",INDEX(EB.EffBG.Bereich,MONTH(Monat.Tag1)))</f>
        <v>100</v>
      </c>
      <c r="W2" s="187"/>
      <c r="X2" s="187"/>
      <c r="Y2" s="108"/>
      <c r="Z2" s="119"/>
      <c r="AA2" s="119"/>
      <c r="AB2" s="119"/>
      <c r="AC2" s="119"/>
      <c r="AD2" s="119"/>
      <c r="AE2" s="106"/>
      <c r="AF2" s="188"/>
      <c r="AG2" s="119"/>
      <c r="AH2" s="119"/>
      <c r="AI2" s="119"/>
      <c r="AJ2" s="119"/>
      <c r="AK2" s="119"/>
      <c r="AL2" s="189"/>
      <c r="AM2" s="119"/>
      <c r="AN2" s="119"/>
      <c r="AO2" s="119"/>
    </row>
    <row r="3" spans="1:41" s="38" customFormat="1" ht="15" customHeight="1" x14ac:dyDescent="0.2">
      <c r="A3" s="190"/>
      <c r="B3" s="461" t="str">
        <f>Eingabeblatt!H2</f>
        <v>Function</v>
      </c>
      <c r="C3" s="474"/>
      <c r="D3" s="474"/>
      <c r="E3" s="462"/>
      <c r="F3" s="483" t="str">
        <f>EB.Funktion</f>
        <v>Description of Function</v>
      </c>
      <c r="G3" s="484"/>
      <c r="H3" s="484"/>
      <c r="I3" s="484"/>
      <c r="J3" s="484"/>
      <c r="K3" s="484"/>
      <c r="L3" s="484"/>
      <c r="M3" s="484"/>
      <c r="N3" s="485"/>
      <c r="O3" s="106"/>
      <c r="P3" s="461" t="str">
        <f>Eingabeblatt!J12</f>
        <v>ø Hours per day at FTE</v>
      </c>
      <c r="Q3" s="474"/>
      <c r="R3" s="474"/>
      <c r="S3" s="474"/>
      <c r="T3" s="474"/>
      <c r="U3" s="462"/>
      <c r="V3" s="57">
        <f>IF(INDEX(EB.DurchSollTAZStd.Bereich,MONTH(Monat.Tag1))="","-     ",INDEX(EB.DurchSollTAZStd.Bereich,MONTH(Monat.Tag1)))</f>
        <v>0.35</v>
      </c>
      <c r="W3" s="191"/>
      <c r="X3" s="191"/>
      <c r="Y3" s="119"/>
      <c r="Z3" s="119"/>
      <c r="AA3" s="119"/>
      <c r="AB3" s="119"/>
      <c r="AC3" s="119"/>
      <c r="AD3" s="119"/>
      <c r="AE3" s="106"/>
      <c r="AF3" s="188"/>
      <c r="AG3" s="119"/>
      <c r="AH3" s="119"/>
      <c r="AI3" s="119"/>
      <c r="AJ3" s="119"/>
      <c r="AK3" s="119"/>
      <c r="AL3" s="189"/>
      <c r="AM3" s="119"/>
      <c r="AN3" s="119"/>
      <c r="AO3" s="119"/>
    </row>
    <row r="4" spans="1:41" s="38" customFormat="1" ht="15" customHeight="1" x14ac:dyDescent="0.2">
      <c r="A4" s="190"/>
      <c r="B4" s="461" t="str">
        <f>Eingabeblatt!H3</f>
        <v>Institute/Department</v>
      </c>
      <c r="C4" s="474"/>
      <c r="D4" s="474"/>
      <c r="E4" s="462"/>
      <c r="F4" s="483" t="str">
        <f>EB.Institut</f>
        <v>Institute/Department Name</v>
      </c>
      <c r="G4" s="484"/>
      <c r="H4" s="484"/>
      <c r="I4" s="484"/>
      <c r="J4" s="484"/>
      <c r="K4" s="484"/>
      <c r="L4" s="484"/>
      <c r="M4" s="484"/>
      <c r="N4" s="485"/>
      <c r="O4" s="106"/>
      <c r="P4" s="497" t="str">
        <f ca="1">IF(EB.ÜZZSBerechtigt=INDEX(T.JaNein.Bereich,1,1),IF(AND(OR(AND(EB.LKgr16=INDEX(T.JaNein.Bereich,1,1),EB.LKgr16ab&gt;EOMONTH(Monat.Tag1,0)),EB.LKgr16&lt;&gt;INDEX(T.JaNein.Bereich,1,1)),Monat.AZSoll.Total&gt;0),Eingabeblatt!J6,""),"")</f>
        <v/>
      </c>
      <c r="Q4" s="497"/>
      <c r="R4" s="497"/>
      <c r="S4" s="497"/>
      <c r="T4" s="497"/>
      <c r="U4" s="497"/>
      <c r="V4" s="192" t="str">
        <f ca="1">IF(P4&lt;&gt;"",EB.ÜZZSBerechtigt,"")</f>
        <v/>
      </c>
      <c r="W4" s="119"/>
      <c r="X4" s="119"/>
      <c r="Y4" s="119"/>
      <c r="Z4" s="119"/>
      <c r="AA4" s="119"/>
      <c r="AB4" s="119"/>
      <c r="AC4" s="119"/>
      <c r="AD4" s="119"/>
      <c r="AE4" s="106"/>
      <c r="AF4" s="188"/>
      <c r="AG4" s="119"/>
      <c r="AH4" s="119"/>
      <c r="AI4" s="119"/>
      <c r="AJ4" s="119"/>
      <c r="AK4" s="119"/>
      <c r="AL4" s="189"/>
      <c r="AM4" s="119"/>
      <c r="AN4" s="119"/>
      <c r="AO4" s="119"/>
    </row>
    <row r="5" spans="1:41" s="38" customFormat="1" ht="15" customHeight="1" x14ac:dyDescent="0.2">
      <c r="A5" s="190"/>
      <c r="B5" s="461" t="str">
        <f>Eingabeblatt!A5</f>
        <v>Employee Number</v>
      </c>
      <c r="C5" s="474"/>
      <c r="D5" s="474"/>
      <c r="E5" s="462"/>
      <c r="F5" s="483" t="str">
        <f>IF(EB.Personalnummer="","?",EB.Personalnummer)</f>
        <v>?</v>
      </c>
      <c r="G5" s="484"/>
      <c r="H5" s="484"/>
      <c r="I5" s="484"/>
      <c r="J5" s="484"/>
      <c r="K5" s="484"/>
      <c r="L5" s="484"/>
      <c r="M5" s="484"/>
      <c r="N5" s="485"/>
      <c r="O5" s="106"/>
      <c r="P5" s="110" t="str">
        <f>LEFT(Eingabeblatt!A38,SEARCH("(",Eingabeblatt!A38,1)-2) &amp; IF(MONTH(Monat.Tag1)&gt;1,IF(EB.Sprache="EN"," (changes as of "," (Veränderungen ab ") &amp; INDEX(EB.Monate.Bereich,MONTH(Monat.Tag1))  &amp; IF(EB.Sprache="EN"," have to be entered here)"," hier eintragen)"),"")</f>
        <v>Standard working hours (changes as of February have to be entered here)</v>
      </c>
      <c r="Q5" s="106"/>
      <c r="R5" s="119"/>
      <c r="S5" s="119"/>
      <c r="T5" s="119"/>
      <c r="U5" s="119"/>
      <c r="V5" s="119"/>
      <c r="W5" s="119"/>
      <c r="X5" s="119"/>
      <c r="Y5" s="119"/>
      <c r="Z5" s="119"/>
      <c r="AA5" s="119"/>
      <c r="AB5" s="119"/>
      <c r="AC5" s="119"/>
      <c r="AD5" s="119"/>
      <c r="AE5" s="106"/>
      <c r="AF5" s="188"/>
      <c r="AG5" s="119"/>
      <c r="AH5" s="119"/>
      <c r="AI5" s="119"/>
      <c r="AJ5" s="119"/>
      <c r="AK5" s="119"/>
      <c r="AL5" s="189"/>
      <c r="AM5" s="119"/>
      <c r="AN5" s="119"/>
      <c r="AO5" s="119"/>
    </row>
    <row r="6" spans="1:41" s="38" customFormat="1" ht="15" customHeight="1" x14ac:dyDescent="0.2">
      <c r="A6" s="190"/>
      <c r="B6" s="461" t="str">
        <f>Eingabeblatt!H4</f>
        <v>Faculty</v>
      </c>
      <c r="C6" s="474"/>
      <c r="D6" s="474"/>
      <c r="E6" s="462"/>
      <c r="F6" s="483" t="str">
        <f>EB.Fakultaet</f>
        <v>Select Faculty</v>
      </c>
      <c r="G6" s="484"/>
      <c r="H6" s="484"/>
      <c r="I6" s="484"/>
      <c r="J6" s="484"/>
      <c r="K6" s="484"/>
      <c r="L6" s="484"/>
      <c r="M6" s="484"/>
      <c r="N6" s="485"/>
      <c r="O6" s="106"/>
      <c r="P6" s="193" t="str">
        <f>LEFT(INDEX(EB.RAZ_Wochentage.Bereich,1),2)</f>
        <v>Mo</v>
      </c>
      <c r="Q6" s="193" t="str">
        <f>LEFT(INDEX(EB.RAZ_Wochentage.Bereich,2),2)</f>
        <v>Tu</v>
      </c>
      <c r="R6" s="193" t="str">
        <f>LEFT(INDEX(EB.RAZ_Wochentage.Bereich,3),2)</f>
        <v>We</v>
      </c>
      <c r="S6" s="193" t="str">
        <f>LEFT(INDEX(EB.RAZ_Wochentage.Bereich,4),2)</f>
        <v>Th</v>
      </c>
      <c r="T6" s="193" t="str">
        <f>LEFT(INDEX(EB.RAZ_Wochentage.Bereich,5),2)</f>
        <v>Fr</v>
      </c>
      <c r="U6" s="193" t="str">
        <f>LEFT(INDEX(EB.RAZ_Wochentage.Bereich,6),2)</f>
        <v>Sa</v>
      </c>
      <c r="V6" s="193" t="str">
        <f>LEFT(INDEX(EB.RAZ_Wochentage.Bereich,7),2)</f>
        <v>Su</v>
      </c>
      <c r="W6" s="119"/>
      <c r="X6" s="119"/>
      <c r="Y6" s="119"/>
      <c r="Z6" s="119"/>
      <c r="AA6" s="119"/>
      <c r="AB6" s="119"/>
      <c r="AC6" s="119"/>
      <c r="AD6" s="119"/>
      <c r="AE6" s="106"/>
      <c r="AF6" s="188"/>
      <c r="AG6" s="119"/>
      <c r="AH6" s="119"/>
      <c r="AI6" s="119"/>
      <c r="AJ6" s="119"/>
      <c r="AK6" s="119"/>
      <c r="AL6" s="189"/>
      <c r="AM6" s="119"/>
      <c r="AN6" s="119"/>
      <c r="AO6" s="119"/>
    </row>
    <row r="7" spans="1:41" s="38" customFormat="1" ht="15" customHeight="1" x14ac:dyDescent="0.2">
      <c r="A7" s="190"/>
      <c r="B7" s="461" t="str">
        <f>Eingabeblatt!H5</f>
        <v>Employee Category</v>
      </c>
      <c r="C7" s="474"/>
      <c r="D7" s="474"/>
      <c r="E7" s="462"/>
      <c r="F7" s="483" t="str">
        <f>EB.Personalkategorie</f>
        <v>Select Employee Category</v>
      </c>
      <c r="G7" s="484"/>
      <c r="H7" s="484"/>
      <c r="I7" s="484"/>
      <c r="J7" s="484"/>
      <c r="K7" s="484"/>
      <c r="L7" s="484"/>
      <c r="M7" s="484"/>
      <c r="N7" s="485"/>
      <c r="O7" s="106"/>
      <c r="P7" s="194">
        <f ca="1">IF(EB.Anwendung&lt;&gt;"",IF(MONTH(Monat.Tag1)=1,INDEX(EB.RAZ1_7.Bereich,1),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1)),"")</f>
        <v>0.35</v>
      </c>
      <c r="Q7" s="194">
        <f ca="1">IF(EB.Anwendung&lt;&gt;"",IF(MONTH(Monat.Tag1)=1,INDEX(EB.RAZ1_7.Bereich,2),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2)),"")</f>
        <v>0.35</v>
      </c>
      <c r="R7" s="194">
        <f ca="1">IF(EB.Anwendung&lt;&gt;"",IF(MONTH(Monat.Tag1)=1,INDEX(EB.RAZ1_7.Bereich,3),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3)),"")</f>
        <v>0.35</v>
      </c>
      <c r="S7" s="194">
        <f ca="1">IF(EB.Anwendung&lt;&gt;"",IF(MONTH(Monat.Tag1)=1,INDEX(EB.RAZ1_7.Bereich,4),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4)),"")</f>
        <v>0.35</v>
      </c>
      <c r="T7" s="194">
        <f ca="1">IF(EB.Anwendung&lt;&gt;"",IF(MONTH(Monat.Tag1)=1,INDEX(EB.RAZ1_7.Bereich,5),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5)),"")</f>
        <v>0.35</v>
      </c>
      <c r="U7" s="194">
        <f ca="1">IF(EB.Anwendung&lt;&gt;"",IF(MONTH(Monat.Tag1)=1,INDEX(EB.RAZ1_7.Bereich,6),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6)),"")</f>
        <v>0</v>
      </c>
      <c r="V7" s="194">
        <f ca="1">IF(EB.Anwendung&lt;&gt;"",IF(MONTH(Monat.Tag1)=1,INDEX(EB.RAZ1_7.Bereich,7),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7)),"")</f>
        <v>0</v>
      </c>
      <c r="W7" s="354">
        <f ca="1">SUM(Monat.RAZ1_7.Bereich)</f>
        <v>1.75</v>
      </c>
      <c r="X7" s="119"/>
      <c r="Y7" s="119"/>
      <c r="Z7" s="119"/>
      <c r="AA7" s="119"/>
      <c r="AB7" s="119"/>
      <c r="AC7" s="119"/>
      <c r="AD7" s="119"/>
      <c r="AE7" s="106"/>
      <c r="AF7" s="188"/>
      <c r="AG7" s="119"/>
      <c r="AH7" s="119"/>
      <c r="AI7" s="119"/>
      <c r="AJ7" s="119"/>
      <c r="AK7" s="119"/>
      <c r="AL7" s="189"/>
      <c r="AM7" s="119"/>
      <c r="AN7" s="119"/>
      <c r="AO7" s="119"/>
    </row>
    <row r="8" spans="1:41" s="38" customFormat="1" ht="11.25" customHeight="1" x14ac:dyDescent="0.2">
      <c r="A8" s="135"/>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06"/>
      <c r="AF8" s="188"/>
      <c r="AG8" s="119"/>
      <c r="AH8" s="119"/>
      <c r="AI8" s="119"/>
      <c r="AJ8" s="119"/>
      <c r="AK8" s="119"/>
      <c r="AL8" s="189"/>
      <c r="AM8" s="119"/>
      <c r="AN8" s="119"/>
      <c r="AO8" s="119"/>
    </row>
    <row r="9" spans="1:41" s="38" customFormat="1" ht="15" customHeight="1" x14ac:dyDescent="0.2">
      <c r="A9" s="135"/>
      <c r="B9" s="195" t="str">
        <f t="shared" ref="B9:AD9" si="0">INDEX(Monat.Wochentage.Bereich,1,WEEKDAY(B10,2))</f>
        <v>Sa</v>
      </c>
      <c r="C9" s="195" t="str">
        <f t="shared" si="0"/>
        <v>Su</v>
      </c>
      <c r="D9" s="195" t="str">
        <f t="shared" si="0"/>
        <v>Mo</v>
      </c>
      <c r="E9" s="195" t="str">
        <f t="shared" si="0"/>
        <v>Tu</v>
      </c>
      <c r="F9" s="195" t="str">
        <f t="shared" si="0"/>
        <v>We</v>
      </c>
      <c r="G9" s="195" t="str">
        <f t="shared" si="0"/>
        <v>Th</v>
      </c>
      <c r="H9" s="195" t="str">
        <f t="shared" si="0"/>
        <v>Fr</v>
      </c>
      <c r="I9" s="195" t="str">
        <f t="shared" si="0"/>
        <v>Sa</v>
      </c>
      <c r="J9" s="195" t="str">
        <f t="shared" si="0"/>
        <v>Su</v>
      </c>
      <c r="K9" s="195" t="str">
        <f t="shared" si="0"/>
        <v>Mo</v>
      </c>
      <c r="L9" s="195" t="str">
        <f t="shared" si="0"/>
        <v>Tu</v>
      </c>
      <c r="M9" s="195" t="str">
        <f t="shared" si="0"/>
        <v>We</v>
      </c>
      <c r="N9" s="195" t="str">
        <f t="shared" si="0"/>
        <v>Th</v>
      </c>
      <c r="O9" s="195" t="str">
        <f t="shared" si="0"/>
        <v>Fr</v>
      </c>
      <c r="P9" s="195" t="str">
        <f t="shared" si="0"/>
        <v>Sa</v>
      </c>
      <c r="Q9" s="195" t="str">
        <f t="shared" si="0"/>
        <v>Su</v>
      </c>
      <c r="R9" s="195" t="str">
        <f t="shared" si="0"/>
        <v>Mo</v>
      </c>
      <c r="S9" s="195" t="str">
        <f t="shared" si="0"/>
        <v>Tu</v>
      </c>
      <c r="T9" s="195" t="str">
        <f t="shared" si="0"/>
        <v>We</v>
      </c>
      <c r="U9" s="195" t="str">
        <f t="shared" si="0"/>
        <v>Th</v>
      </c>
      <c r="V9" s="195" t="str">
        <f t="shared" si="0"/>
        <v>Fr</v>
      </c>
      <c r="W9" s="195" t="str">
        <f t="shared" si="0"/>
        <v>Sa</v>
      </c>
      <c r="X9" s="195" t="str">
        <f t="shared" si="0"/>
        <v>Su</v>
      </c>
      <c r="Y9" s="195" t="str">
        <f t="shared" si="0"/>
        <v>Mo</v>
      </c>
      <c r="Z9" s="195" t="str">
        <f t="shared" si="0"/>
        <v>Tu</v>
      </c>
      <c r="AA9" s="195" t="str">
        <f t="shared" si="0"/>
        <v>We</v>
      </c>
      <c r="AB9" s="195" t="str">
        <f t="shared" si="0"/>
        <v>Th</v>
      </c>
      <c r="AC9" s="195" t="str">
        <f t="shared" si="0"/>
        <v>Fr</v>
      </c>
      <c r="AD9" s="195" t="str">
        <f t="shared" si="0"/>
        <v>Sa</v>
      </c>
      <c r="AE9" s="106"/>
      <c r="AF9" s="188"/>
      <c r="AG9" s="119"/>
      <c r="AH9" s="119"/>
      <c r="AI9" s="119"/>
      <c r="AJ9" s="119"/>
      <c r="AK9" s="119"/>
      <c r="AL9" s="189"/>
      <c r="AM9" s="119"/>
      <c r="AN9" s="119"/>
      <c r="AO9" s="119"/>
    </row>
    <row r="10" spans="1:41" s="59" customFormat="1" ht="25.5" x14ac:dyDescent="0.2">
      <c r="A10" s="196" t="s">
        <v>73</v>
      </c>
      <c r="B10" s="197">
        <v>42400</v>
      </c>
      <c r="C10" s="197">
        <f>B10+1</f>
        <v>42401</v>
      </c>
      <c r="D10" s="197">
        <f t="shared" ref="D10:AD10" si="1">C10+1</f>
        <v>42402</v>
      </c>
      <c r="E10" s="197">
        <f t="shared" si="1"/>
        <v>42403</v>
      </c>
      <c r="F10" s="197">
        <f t="shared" si="1"/>
        <v>42404</v>
      </c>
      <c r="G10" s="197">
        <f t="shared" si="1"/>
        <v>42405</v>
      </c>
      <c r="H10" s="197">
        <f t="shared" si="1"/>
        <v>42406</v>
      </c>
      <c r="I10" s="197">
        <f t="shared" si="1"/>
        <v>42407</v>
      </c>
      <c r="J10" s="197">
        <f t="shared" si="1"/>
        <v>42408</v>
      </c>
      <c r="K10" s="197">
        <f t="shared" si="1"/>
        <v>42409</v>
      </c>
      <c r="L10" s="197">
        <f t="shared" si="1"/>
        <v>42410</v>
      </c>
      <c r="M10" s="197">
        <f t="shared" si="1"/>
        <v>42411</v>
      </c>
      <c r="N10" s="197">
        <f t="shared" si="1"/>
        <v>42412</v>
      </c>
      <c r="O10" s="197">
        <f t="shared" si="1"/>
        <v>42413</v>
      </c>
      <c r="P10" s="197">
        <f t="shared" si="1"/>
        <v>42414</v>
      </c>
      <c r="Q10" s="197">
        <f t="shared" si="1"/>
        <v>42415</v>
      </c>
      <c r="R10" s="197">
        <f t="shared" si="1"/>
        <v>42416</v>
      </c>
      <c r="S10" s="197">
        <f t="shared" si="1"/>
        <v>42417</v>
      </c>
      <c r="T10" s="197">
        <f t="shared" si="1"/>
        <v>42418</v>
      </c>
      <c r="U10" s="197">
        <f t="shared" si="1"/>
        <v>42419</v>
      </c>
      <c r="V10" s="197">
        <f t="shared" si="1"/>
        <v>42420</v>
      </c>
      <c r="W10" s="197">
        <f t="shared" si="1"/>
        <v>42421</v>
      </c>
      <c r="X10" s="197">
        <f t="shared" si="1"/>
        <v>42422</v>
      </c>
      <c r="Y10" s="197">
        <f t="shared" si="1"/>
        <v>42423</v>
      </c>
      <c r="Z10" s="197">
        <f t="shared" si="1"/>
        <v>42424</v>
      </c>
      <c r="AA10" s="197">
        <f t="shared" si="1"/>
        <v>42425</v>
      </c>
      <c r="AB10" s="197">
        <f t="shared" si="1"/>
        <v>42426</v>
      </c>
      <c r="AC10" s="197">
        <f t="shared" si="1"/>
        <v>42427</v>
      </c>
      <c r="AD10" s="197">
        <f t="shared" si="1"/>
        <v>42428</v>
      </c>
      <c r="AE10" s="198" t="str">
        <f>A10</f>
        <v>Day</v>
      </c>
      <c r="AF10" s="486" t="str">
        <f>"Total " &amp; INDEX(EB.Monate.Bereich,MONTH(Monat.Tag1))</f>
        <v>Total February</v>
      </c>
      <c r="AG10" s="487"/>
      <c r="AH10" s="441" t="s">
        <v>229</v>
      </c>
      <c r="AI10" s="199" t="s">
        <v>121</v>
      </c>
      <c r="AJ10" s="199" t="s">
        <v>122</v>
      </c>
      <c r="AK10" s="199" t="s">
        <v>230</v>
      </c>
      <c r="AL10" s="200" t="s">
        <v>123</v>
      </c>
      <c r="AM10" s="488" t="str">
        <f ca="1">IF(EB.Sprache="DE","Jahressaldo per" &amp; CHAR(10) &amp; "    ME       " &amp; IFERROR(TEXT(TODAY(),"[$-0007]"&amp;"TT.MM.JJ"),TEXT(TODAY(),"[$-0007]"&amp;"DD.MM.YY")),
"Yearly balance by" &amp; CHAR(10) &amp; "   eom      " &amp; IFERROR(TEXT(TODAY(),"[$-0809]"&amp;"DD.MM.YY"),TEXT(TODAY(),"[$-0809]"&amp;"TT.MM.JJ")))</f>
        <v>Yearly balance by
   eom      14.12.19</v>
      </c>
      <c r="AN10" s="489"/>
      <c r="AO10" s="201"/>
    </row>
    <row r="11" spans="1:41" s="59" customFormat="1" ht="12" hidden="1" customHeight="1" x14ac:dyDescent="0.2">
      <c r="A11" s="196" t="s">
        <v>163</v>
      </c>
      <c r="B11" s="202">
        <f t="shared" ref="B11:AD11" ca="1" si="2">IFERROR(OFFSET(T.Feiertage.Bereich,MATCH(B$10,T.Feiertage.Bereich,0)-1,1,1,1),1)</f>
        <v>1</v>
      </c>
      <c r="C11" s="202">
        <f t="shared" ca="1" si="2"/>
        <v>1</v>
      </c>
      <c r="D11" s="202">
        <f t="shared" ca="1" si="2"/>
        <v>1</v>
      </c>
      <c r="E11" s="203">
        <f t="shared" ca="1" si="2"/>
        <v>1</v>
      </c>
      <c r="F11" s="202">
        <f t="shared" ca="1" si="2"/>
        <v>1</v>
      </c>
      <c r="G11" s="202">
        <f t="shared" ca="1" si="2"/>
        <v>1</v>
      </c>
      <c r="H11" s="202">
        <f t="shared" ca="1" si="2"/>
        <v>1</v>
      </c>
      <c r="I11" s="202">
        <f t="shared" ca="1" si="2"/>
        <v>1</v>
      </c>
      <c r="J11" s="203">
        <f t="shared" ca="1" si="2"/>
        <v>1</v>
      </c>
      <c r="K11" s="202">
        <f t="shared" ca="1" si="2"/>
        <v>1</v>
      </c>
      <c r="L11" s="203">
        <f t="shared" ca="1" si="2"/>
        <v>1</v>
      </c>
      <c r="M11" s="202">
        <f t="shared" ca="1" si="2"/>
        <v>1</v>
      </c>
      <c r="N11" s="202">
        <f t="shared" ca="1" si="2"/>
        <v>1</v>
      </c>
      <c r="O11" s="202">
        <f t="shared" ca="1" si="2"/>
        <v>1</v>
      </c>
      <c r="P11" s="202">
        <f t="shared" ca="1" si="2"/>
        <v>1</v>
      </c>
      <c r="Q11" s="203">
        <f t="shared" ca="1" si="2"/>
        <v>1</v>
      </c>
      <c r="R11" s="202">
        <f t="shared" ca="1" si="2"/>
        <v>1</v>
      </c>
      <c r="S11" s="203">
        <f t="shared" ca="1" si="2"/>
        <v>1</v>
      </c>
      <c r="T11" s="203">
        <f t="shared" ca="1" si="2"/>
        <v>1</v>
      </c>
      <c r="U11" s="202">
        <f t="shared" ca="1" si="2"/>
        <v>1</v>
      </c>
      <c r="V11" s="202">
        <f t="shared" ca="1" si="2"/>
        <v>1</v>
      </c>
      <c r="W11" s="202">
        <f t="shared" ca="1" si="2"/>
        <v>1</v>
      </c>
      <c r="X11" s="203">
        <f t="shared" ca="1" si="2"/>
        <v>1</v>
      </c>
      <c r="Y11" s="202">
        <f t="shared" ca="1" si="2"/>
        <v>1</v>
      </c>
      <c r="Z11" s="204">
        <f t="shared" ca="1" si="2"/>
        <v>1</v>
      </c>
      <c r="AA11" s="202">
        <f t="shared" ca="1" si="2"/>
        <v>1</v>
      </c>
      <c r="AB11" s="202">
        <f t="shared" ca="1" si="2"/>
        <v>1</v>
      </c>
      <c r="AC11" s="202">
        <f t="shared" ca="1" si="2"/>
        <v>1</v>
      </c>
      <c r="AD11" s="202">
        <f t="shared" ca="1" si="2"/>
        <v>1</v>
      </c>
      <c r="AE11" s="205"/>
      <c r="AF11" s="188"/>
      <c r="AG11" s="206"/>
      <c r="AH11" s="207"/>
      <c r="AI11" s="208"/>
      <c r="AJ11" s="209"/>
      <c r="AK11" s="209"/>
      <c r="AL11" s="208"/>
      <c r="AM11" s="209"/>
      <c r="AN11" s="209"/>
      <c r="AO11" s="201"/>
    </row>
    <row r="12" spans="1:41" s="59" customFormat="1" ht="12" hidden="1" customHeight="1" x14ac:dyDescent="0.2">
      <c r="A12" s="196" t="s">
        <v>169</v>
      </c>
      <c r="B12" s="210">
        <f t="shared" ref="B12:AD12" si="3">IF(OR(AND(ISNUMBER(EB.UJEintritt),EB.UJEintritt&gt;=B$10+1),AND(ISNUMBER(EB.UJAustritt),EB.UJAustritt&lt;=B$10-1)),0,1)</f>
        <v>1</v>
      </c>
      <c r="C12" s="210">
        <f t="shared" si="3"/>
        <v>1</v>
      </c>
      <c r="D12" s="210">
        <f t="shared" si="3"/>
        <v>1</v>
      </c>
      <c r="E12" s="195">
        <f t="shared" si="3"/>
        <v>1</v>
      </c>
      <c r="F12" s="210">
        <f t="shared" si="3"/>
        <v>1</v>
      </c>
      <c r="G12" s="210">
        <f t="shared" si="3"/>
        <v>1</v>
      </c>
      <c r="H12" s="210">
        <f t="shared" si="3"/>
        <v>1</v>
      </c>
      <c r="I12" s="210">
        <f t="shared" si="3"/>
        <v>1</v>
      </c>
      <c r="J12" s="195">
        <f t="shared" si="3"/>
        <v>1</v>
      </c>
      <c r="K12" s="210">
        <f t="shared" si="3"/>
        <v>1</v>
      </c>
      <c r="L12" s="195">
        <f t="shared" si="3"/>
        <v>1</v>
      </c>
      <c r="M12" s="210">
        <f t="shared" si="3"/>
        <v>1</v>
      </c>
      <c r="N12" s="210">
        <f t="shared" si="3"/>
        <v>1</v>
      </c>
      <c r="O12" s="210">
        <f t="shared" si="3"/>
        <v>1</v>
      </c>
      <c r="P12" s="210">
        <f t="shared" si="3"/>
        <v>1</v>
      </c>
      <c r="Q12" s="195">
        <f t="shared" si="3"/>
        <v>1</v>
      </c>
      <c r="R12" s="210">
        <f t="shared" si="3"/>
        <v>1</v>
      </c>
      <c r="S12" s="195">
        <f t="shared" si="3"/>
        <v>1</v>
      </c>
      <c r="T12" s="195">
        <f t="shared" si="3"/>
        <v>1</v>
      </c>
      <c r="U12" s="210">
        <f t="shared" si="3"/>
        <v>1</v>
      </c>
      <c r="V12" s="210">
        <f t="shared" si="3"/>
        <v>1</v>
      </c>
      <c r="W12" s="210">
        <f t="shared" si="3"/>
        <v>1</v>
      </c>
      <c r="X12" s="195">
        <f t="shared" si="3"/>
        <v>1</v>
      </c>
      <c r="Y12" s="210">
        <f t="shared" si="3"/>
        <v>1</v>
      </c>
      <c r="Z12" s="211">
        <f t="shared" si="3"/>
        <v>1</v>
      </c>
      <c r="AA12" s="210">
        <f t="shared" si="3"/>
        <v>1</v>
      </c>
      <c r="AB12" s="210">
        <f t="shared" si="3"/>
        <v>1</v>
      </c>
      <c r="AC12" s="210">
        <f t="shared" si="3"/>
        <v>1</v>
      </c>
      <c r="AD12" s="210">
        <f t="shared" si="3"/>
        <v>1</v>
      </c>
      <c r="AE12" s="205"/>
      <c r="AF12" s="188"/>
      <c r="AG12" s="206"/>
      <c r="AH12" s="207"/>
      <c r="AI12" s="208"/>
      <c r="AJ12" s="209"/>
      <c r="AK12" s="209"/>
      <c r="AL12" s="208"/>
      <c r="AM12" s="209"/>
      <c r="AN12" s="209"/>
      <c r="AO12" s="201"/>
    </row>
    <row r="13" spans="1:41" s="38" customFormat="1" ht="15" customHeight="1" x14ac:dyDescent="0.2">
      <c r="A13" s="212" t="s">
        <v>74</v>
      </c>
      <c r="B13" s="40"/>
      <c r="C13" s="40"/>
      <c r="D13" s="40"/>
      <c r="E13" s="27"/>
      <c r="F13" s="40"/>
      <c r="G13" s="40"/>
      <c r="H13" s="40"/>
      <c r="I13" s="40"/>
      <c r="J13" s="27"/>
      <c r="K13" s="40"/>
      <c r="L13" s="27"/>
      <c r="M13" s="40"/>
      <c r="N13" s="40"/>
      <c r="O13" s="40"/>
      <c r="P13" s="40"/>
      <c r="Q13" s="27"/>
      <c r="R13" s="40"/>
      <c r="S13" s="27"/>
      <c r="T13" s="27"/>
      <c r="U13" s="40"/>
      <c r="V13" s="40"/>
      <c r="W13" s="40"/>
      <c r="X13" s="27"/>
      <c r="Y13" s="40"/>
      <c r="Z13" s="39"/>
      <c r="AA13" s="40"/>
      <c r="AB13" s="40"/>
      <c r="AC13" s="40"/>
      <c r="AD13" s="40"/>
      <c r="AE13" s="205" t="str">
        <f t="shared" ref="AE13:AE23" si="4">A13</f>
        <v>in</v>
      </c>
      <c r="AF13" s="188"/>
      <c r="AG13" s="206"/>
      <c r="AH13" s="207"/>
      <c r="AI13" s="208"/>
      <c r="AJ13" s="209"/>
      <c r="AK13" s="209"/>
      <c r="AL13" s="208"/>
      <c r="AM13" s="209"/>
      <c r="AN13" s="209"/>
      <c r="AO13" s="119"/>
    </row>
    <row r="14" spans="1:41" s="38" customFormat="1" ht="15" customHeight="1" x14ac:dyDescent="0.2">
      <c r="A14" s="212" t="s">
        <v>75</v>
      </c>
      <c r="B14" s="40"/>
      <c r="C14" s="40"/>
      <c r="D14" s="40"/>
      <c r="E14" s="27"/>
      <c r="F14" s="40"/>
      <c r="G14" s="40"/>
      <c r="H14" s="40"/>
      <c r="I14" s="40"/>
      <c r="J14" s="27"/>
      <c r="K14" s="40"/>
      <c r="L14" s="27"/>
      <c r="M14" s="40"/>
      <c r="N14" s="40"/>
      <c r="O14" s="40"/>
      <c r="P14" s="40"/>
      <c r="Q14" s="27"/>
      <c r="R14" s="40"/>
      <c r="S14" s="27"/>
      <c r="T14" s="27"/>
      <c r="U14" s="40"/>
      <c r="V14" s="40"/>
      <c r="W14" s="40"/>
      <c r="X14" s="27"/>
      <c r="Y14" s="40"/>
      <c r="Z14" s="39"/>
      <c r="AA14" s="40"/>
      <c r="AB14" s="40"/>
      <c r="AC14" s="40"/>
      <c r="AD14" s="40"/>
      <c r="AE14" s="205" t="str">
        <f t="shared" si="4"/>
        <v>out</v>
      </c>
      <c r="AF14" s="188"/>
      <c r="AG14" s="206"/>
      <c r="AH14" s="207"/>
      <c r="AI14" s="208"/>
      <c r="AJ14" s="209"/>
      <c r="AK14" s="209"/>
      <c r="AL14" s="208"/>
      <c r="AM14" s="209"/>
      <c r="AN14" s="209"/>
      <c r="AO14" s="119"/>
    </row>
    <row r="15" spans="1:41" s="38" customFormat="1" ht="15" customHeight="1" x14ac:dyDescent="0.2">
      <c r="A15" s="212" t="s">
        <v>74</v>
      </c>
      <c r="B15" s="40"/>
      <c r="C15" s="40"/>
      <c r="D15" s="40"/>
      <c r="E15" s="27"/>
      <c r="F15" s="40"/>
      <c r="G15" s="40"/>
      <c r="H15" s="40"/>
      <c r="I15" s="40"/>
      <c r="J15" s="27"/>
      <c r="K15" s="40"/>
      <c r="L15" s="27"/>
      <c r="M15" s="40"/>
      <c r="N15" s="40"/>
      <c r="O15" s="40"/>
      <c r="P15" s="40"/>
      <c r="Q15" s="27"/>
      <c r="R15" s="40"/>
      <c r="S15" s="27"/>
      <c r="T15" s="27"/>
      <c r="U15" s="40"/>
      <c r="V15" s="40"/>
      <c r="W15" s="40"/>
      <c r="X15" s="27"/>
      <c r="Y15" s="40"/>
      <c r="Z15" s="39"/>
      <c r="AA15" s="40"/>
      <c r="AB15" s="40"/>
      <c r="AC15" s="40"/>
      <c r="AD15" s="40"/>
      <c r="AE15" s="205" t="str">
        <f t="shared" si="4"/>
        <v>in</v>
      </c>
      <c r="AF15" s="188"/>
      <c r="AG15" s="206"/>
      <c r="AH15" s="207"/>
      <c r="AI15" s="208"/>
      <c r="AJ15" s="209"/>
      <c r="AK15" s="209"/>
      <c r="AL15" s="208"/>
      <c r="AM15" s="209"/>
      <c r="AN15" s="209"/>
      <c r="AO15" s="119"/>
    </row>
    <row r="16" spans="1:41" s="38" customFormat="1" ht="15" customHeight="1" x14ac:dyDescent="0.2">
      <c r="A16" s="212" t="s">
        <v>75</v>
      </c>
      <c r="B16" s="40"/>
      <c r="C16" s="40"/>
      <c r="D16" s="40"/>
      <c r="E16" s="27"/>
      <c r="F16" s="40"/>
      <c r="G16" s="40"/>
      <c r="H16" s="40"/>
      <c r="I16" s="40"/>
      <c r="J16" s="27"/>
      <c r="K16" s="40"/>
      <c r="L16" s="27"/>
      <c r="M16" s="40"/>
      <c r="N16" s="40"/>
      <c r="O16" s="40"/>
      <c r="P16" s="40"/>
      <c r="Q16" s="27"/>
      <c r="R16" s="40"/>
      <c r="S16" s="27"/>
      <c r="T16" s="27"/>
      <c r="U16" s="40"/>
      <c r="V16" s="40"/>
      <c r="W16" s="40"/>
      <c r="X16" s="27"/>
      <c r="Y16" s="40"/>
      <c r="Z16" s="39"/>
      <c r="AA16" s="40"/>
      <c r="AB16" s="40"/>
      <c r="AC16" s="40"/>
      <c r="AD16" s="40"/>
      <c r="AE16" s="205" t="str">
        <f t="shared" si="4"/>
        <v>out</v>
      </c>
      <c r="AF16" s="188"/>
      <c r="AG16" s="213"/>
      <c r="AH16" s="214"/>
      <c r="AI16" s="209"/>
      <c r="AJ16" s="209"/>
      <c r="AK16" s="209"/>
      <c r="AL16" s="208"/>
      <c r="AM16" s="209"/>
      <c r="AN16" s="209"/>
      <c r="AO16" s="119"/>
    </row>
    <row r="17" spans="1:41" s="38" customFormat="1" ht="15" customHeight="1" x14ac:dyDescent="0.2">
      <c r="A17" s="212" t="s">
        <v>74</v>
      </c>
      <c r="B17" s="40"/>
      <c r="C17" s="40"/>
      <c r="D17" s="40"/>
      <c r="E17" s="27"/>
      <c r="F17" s="40"/>
      <c r="G17" s="40"/>
      <c r="H17" s="40"/>
      <c r="I17" s="40"/>
      <c r="J17" s="27"/>
      <c r="K17" s="40"/>
      <c r="L17" s="27"/>
      <c r="M17" s="40"/>
      <c r="N17" s="40"/>
      <c r="O17" s="40"/>
      <c r="P17" s="40"/>
      <c r="Q17" s="27"/>
      <c r="R17" s="40"/>
      <c r="S17" s="27"/>
      <c r="T17" s="27"/>
      <c r="U17" s="40"/>
      <c r="V17" s="40"/>
      <c r="W17" s="40"/>
      <c r="X17" s="27"/>
      <c r="Y17" s="40"/>
      <c r="Z17" s="39"/>
      <c r="AA17" s="40"/>
      <c r="AB17" s="40"/>
      <c r="AC17" s="40"/>
      <c r="AD17" s="40"/>
      <c r="AE17" s="205" t="str">
        <f t="shared" si="4"/>
        <v>in</v>
      </c>
      <c r="AF17" s="188"/>
      <c r="AG17" s="213"/>
      <c r="AH17" s="214"/>
      <c r="AI17" s="209"/>
      <c r="AJ17" s="209"/>
      <c r="AK17" s="209"/>
      <c r="AL17" s="208"/>
      <c r="AM17" s="209"/>
      <c r="AN17" s="209"/>
      <c r="AO17" s="119"/>
    </row>
    <row r="18" spans="1:41" s="38" customFormat="1" ht="15" customHeight="1" x14ac:dyDescent="0.2">
      <c r="A18" s="212" t="s">
        <v>75</v>
      </c>
      <c r="B18" s="40"/>
      <c r="C18" s="40"/>
      <c r="D18" s="40"/>
      <c r="E18" s="27"/>
      <c r="F18" s="40"/>
      <c r="G18" s="40"/>
      <c r="H18" s="40"/>
      <c r="I18" s="40"/>
      <c r="J18" s="27"/>
      <c r="K18" s="40"/>
      <c r="L18" s="27"/>
      <c r="M18" s="40"/>
      <c r="N18" s="40"/>
      <c r="O18" s="40"/>
      <c r="P18" s="40"/>
      <c r="Q18" s="27"/>
      <c r="R18" s="40"/>
      <c r="S18" s="27"/>
      <c r="T18" s="27"/>
      <c r="U18" s="40"/>
      <c r="V18" s="40"/>
      <c r="W18" s="40"/>
      <c r="X18" s="27"/>
      <c r="Y18" s="40"/>
      <c r="Z18" s="39"/>
      <c r="AA18" s="40"/>
      <c r="AB18" s="40"/>
      <c r="AC18" s="40"/>
      <c r="AD18" s="40"/>
      <c r="AE18" s="205" t="str">
        <f t="shared" si="4"/>
        <v>out</v>
      </c>
      <c r="AF18" s="188"/>
      <c r="AG18" s="213"/>
      <c r="AH18" s="214"/>
      <c r="AI18" s="209"/>
      <c r="AJ18" s="209"/>
      <c r="AK18" s="209"/>
      <c r="AL18" s="208"/>
      <c r="AM18" s="209"/>
      <c r="AN18" s="209"/>
      <c r="AO18" s="119"/>
    </row>
    <row r="19" spans="1:41" s="38" customFormat="1" ht="15" hidden="1" customHeight="1" outlineLevel="1" x14ac:dyDescent="0.2">
      <c r="A19" s="212" t="s">
        <v>74</v>
      </c>
      <c r="B19" s="40"/>
      <c r="C19" s="40"/>
      <c r="D19" s="40"/>
      <c r="E19" s="27"/>
      <c r="F19" s="40"/>
      <c r="G19" s="40"/>
      <c r="H19" s="40"/>
      <c r="I19" s="40"/>
      <c r="J19" s="27"/>
      <c r="K19" s="40"/>
      <c r="L19" s="27"/>
      <c r="M19" s="40"/>
      <c r="N19" s="40"/>
      <c r="O19" s="40"/>
      <c r="P19" s="40"/>
      <c r="Q19" s="27"/>
      <c r="R19" s="40"/>
      <c r="S19" s="27"/>
      <c r="T19" s="27"/>
      <c r="U19" s="40"/>
      <c r="V19" s="40"/>
      <c r="W19" s="40"/>
      <c r="X19" s="27"/>
      <c r="Y19" s="40"/>
      <c r="Z19" s="39"/>
      <c r="AA19" s="40"/>
      <c r="AB19" s="40"/>
      <c r="AC19" s="40"/>
      <c r="AD19" s="40"/>
      <c r="AE19" s="205" t="str">
        <f t="shared" si="4"/>
        <v>in</v>
      </c>
      <c r="AF19" s="188"/>
      <c r="AG19" s="213"/>
      <c r="AH19" s="214"/>
      <c r="AI19" s="209"/>
      <c r="AJ19" s="209"/>
      <c r="AK19" s="209"/>
      <c r="AL19" s="208"/>
      <c r="AM19" s="209"/>
      <c r="AN19" s="209"/>
      <c r="AO19" s="119"/>
    </row>
    <row r="20" spans="1:41" s="38" customFormat="1" ht="15" hidden="1" customHeight="1" outlineLevel="1" x14ac:dyDescent="0.2">
      <c r="A20" s="212" t="s">
        <v>75</v>
      </c>
      <c r="B20" s="40"/>
      <c r="C20" s="40"/>
      <c r="D20" s="40"/>
      <c r="E20" s="27"/>
      <c r="F20" s="40"/>
      <c r="G20" s="40"/>
      <c r="H20" s="40"/>
      <c r="I20" s="40"/>
      <c r="J20" s="27"/>
      <c r="K20" s="40"/>
      <c r="L20" s="27"/>
      <c r="M20" s="40"/>
      <c r="N20" s="40"/>
      <c r="O20" s="40"/>
      <c r="P20" s="40"/>
      <c r="Q20" s="27"/>
      <c r="R20" s="40"/>
      <c r="S20" s="27"/>
      <c r="T20" s="27"/>
      <c r="U20" s="40"/>
      <c r="V20" s="40"/>
      <c r="W20" s="40"/>
      <c r="X20" s="27"/>
      <c r="Y20" s="40"/>
      <c r="Z20" s="39"/>
      <c r="AA20" s="40"/>
      <c r="AB20" s="40"/>
      <c r="AC20" s="40"/>
      <c r="AD20" s="40"/>
      <c r="AE20" s="205" t="str">
        <f t="shared" si="4"/>
        <v>out</v>
      </c>
      <c r="AF20" s="188"/>
      <c r="AG20" s="213"/>
      <c r="AH20" s="214"/>
      <c r="AI20" s="209"/>
      <c r="AJ20" s="209"/>
      <c r="AK20" s="209"/>
      <c r="AL20" s="208"/>
      <c r="AM20" s="209"/>
      <c r="AN20" s="209"/>
      <c r="AO20" s="119"/>
    </row>
    <row r="21" spans="1:41" s="38" customFormat="1" ht="15" hidden="1" customHeight="1" outlineLevel="1" x14ac:dyDescent="0.2">
      <c r="A21" s="212" t="s">
        <v>74</v>
      </c>
      <c r="B21" s="40"/>
      <c r="C21" s="40"/>
      <c r="D21" s="40"/>
      <c r="E21" s="27"/>
      <c r="F21" s="40"/>
      <c r="G21" s="40"/>
      <c r="H21" s="40"/>
      <c r="I21" s="40"/>
      <c r="J21" s="27"/>
      <c r="K21" s="40"/>
      <c r="L21" s="27"/>
      <c r="M21" s="40"/>
      <c r="N21" s="40"/>
      <c r="O21" s="40"/>
      <c r="P21" s="40"/>
      <c r="Q21" s="27"/>
      <c r="R21" s="40"/>
      <c r="S21" s="27"/>
      <c r="T21" s="27"/>
      <c r="U21" s="40"/>
      <c r="V21" s="40"/>
      <c r="W21" s="40"/>
      <c r="X21" s="27"/>
      <c r="Y21" s="40"/>
      <c r="Z21" s="39"/>
      <c r="AA21" s="40"/>
      <c r="AB21" s="40"/>
      <c r="AC21" s="40"/>
      <c r="AD21" s="40"/>
      <c r="AE21" s="205" t="str">
        <f t="shared" si="4"/>
        <v>in</v>
      </c>
      <c r="AF21" s="188"/>
      <c r="AG21" s="213"/>
      <c r="AH21" s="214"/>
      <c r="AI21" s="209"/>
      <c r="AJ21" s="209"/>
      <c r="AK21" s="209"/>
      <c r="AL21" s="208"/>
      <c r="AM21" s="209"/>
      <c r="AN21" s="209"/>
      <c r="AO21" s="119"/>
    </row>
    <row r="22" spans="1:41" s="38" customFormat="1" ht="15" hidden="1" customHeight="1" outlineLevel="1" x14ac:dyDescent="0.2">
      <c r="A22" s="212" t="s">
        <v>75</v>
      </c>
      <c r="B22" s="40"/>
      <c r="C22" s="40"/>
      <c r="D22" s="40"/>
      <c r="E22" s="27"/>
      <c r="F22" s="40"/>
      <c r="G22" s="40"/>
      <c r="H22" s="40"/>
      <c r="I22" s="40"/>
      <c r="J22" s="27"/>
      <c r="K22" s="40"/>
      <c r="L22" s="27"/>
      <c r="M22" s="40"/>
      <c r="N22" s="40"/>
      <c r="O22" s="40"/>
      <c r="P22" s="40"/>
      <c r="Q22" s="27"/>
      <c r="R22" s="40"/>
      <c r="S22" s="27"/>
      <c r="T22" s="27"/>
      <c r="U22" s="40"/>
      <c r="V22" s="40"/>
      <c r="W22" s="40"/>
      <c r="X22" s="27"/>
      <c r="Y22" s="40"/>
      <c r="Z22" s="39"/>
      <c r="AA22" s="40"/>
      <c r="AB22" s="40"/>
      <c r="AC22" s="40"/>
      <c r="AD22" s="40"/>
      <c r="AE22" s="205" t="str">
        <f t="shared" si="4"/>
        <v>out</v>
      </c>
      <c r="AF22" s="188"/>
      <c r="AG22" s="213"/>
      <c r="AH22" s="214"/>
      <c r="AI22" s="209"/>
      <c r="AJ22" s="209"/>
      <c r="AK22" s="209"/>
      <c r="AL22" s="208"/>
      <c r="AM22" s="209"/>
      <c r="AN22" s="209"/>
      <c r="AO22" s="119"/>
    </row>
    <row r="23" spans="1:41" s="38" customFormat="1" ht="15" customHeight="1" collapsed="1" x14ac:dyDescent="0.2">
      <c r="A23" s="215" t="s">
        <v>204</v>
      </c>
      <c r="B23" s="216">
        <f>ROUND(((B14-B13)+(B16-B15)+(B18-B17)+(B20-B19)+(B22-B21))*1440,0)/1440</f>
        <v>0</v>
      </c>
      <c r="C23" s="216">
        <f t="shared" ref="C23:AD23" si="5">ROUND(((C14-C13)+(C16-C15)+(C18-C17)+(C20-C19)+(C22-C21))*1440,0)/1440</f>
        <v>0</v>
      </c>
      <c r="D23" s="216">
        <f t="shared" si="5"/>
        <v>0</v>
      </c>
      <c r="E23" s="216">
        <f t="shared" si="5"/>
        <v>0</v>
      </c>
      <c r="F23" s="216">
        <f t="shared" si="5"/>
        <v>0</v>
      </c>
      <c r="G23" s="216">
        <f t="shared" si="5"/>
        <v>0</v>
      </c>
      <c r="H23" s="216">
        <f t="shared" si="5"/>
        <v>0</v>
      </c>
      <c r="I23" s="216">
        <f t="shared" si="5"/>
        <v>0</v>
      </c>
      <c r="J23" s="216">
        <f t="shared" si="5"/>
        <v>0</v>
      </c>
      <c r="K23" s="216">
        <f t="shared" si="5"/>
        <v>0</v>
      </c>
      <c r="L23" s="216">
        <f t="shared" si="5"/>
        <v>0</v>
      </c>
      <c r="M23" s="216">
        <f t="shared" si="5"/>
        <v>0</v>
      </c>
      <c r="N23" s="216">
        <f t="shared" si="5"/>
        <v>0</v>
      </c>
      <c r="O23" s="216">
        <f t="shared" si="5"/>
        <v>0</v>
      </c>
      <c r="P23" s="216">
        <f t="shared" si="5"/>
        <v>0</v>
      </c>
      <c r="Q23" s="216">
        <f t="shared" si="5"/>
        <v>0</v>
      </c>
      <c r="R23" s="216">
        <f t="shared" si="5"/>
        <v>0</v>
      </c>
      <c r="S23" s="216">
        <f t="shared" si="5"/>
        <v>0</v>
      </c>
      <c r="T23" s="216">
        <f t="shared" si="5"/>
        <v>0</v>
      </c>
      <c r="U23" s="216">
        <f t="shared" si="5"/>
        <v>0</v>
      </c>
      <c r="V23" s="216">
        <f t="shared" si="5"/>
        <v>0</v>
      </c>
      <c r="W23" s="216">
        <f t="shared" si="5"/>
        <v>0</v>
      </c>
      <c r="X23" s="216">
        <f t="shared" si="5"/>
        <v>0</v>
      </c>
      <c r="Y23" s="216">
        <f t="shared" si="5"/>
        <v>0</v>
      </c>
      <c r="Z23" s="216">
        <f t="shared" si="5"/>
        <v>0</v>
      </c>
      <c r="AA23" s="216">
        <f t="shared" si="5"/>
        <v>0</v>
      </c>
      <c r="AB23" s="216">
        <f t="shared" si="5"/>
        <v>0</v>
      </c>
      <c r="AC23" s="216">
        <f t="shared" si="5"/>
        <v>0</v>
      </c>
      <c r="AD23" s="216">
        <f t="shared" si="5"/>
        <v>0</v>
      </c>
      <c r="AE23" s="217" t="str">
        <f t="shared" si="4"/>
        <v>Total in/out</v>
      </c>
      <c r="AF23" s="218"/>
      <c r="AG23" s="219">
        <f>SUM(B23:AD23)</f>
        <v>0</v>
      </c>
      <c r="AH23" s="214"/>
      <c r="AI23" s="209"/>
      <c r="AJ23" s="209"/>
      <c r="AK23" s="209"/>
      <c r="AL23" s="208"/>
      <c r="AM23" s="209"/>
      <c r="AN23" s="209"/>
      <c r="AO23" s="119"/>
    </row>
    <row r="24" spans="1:41" s="38" customFormat="1" ht="3.75" hidden="1" customHeight="1" outlineLevel="1" x14ac:dyDescent="0.2">
      <c r="A24" s="220"/>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05"/>
      <c r="AF24" s="188"/>
      <c r="AG24" s="213"/>
      <c r="AH24" s="214"/>
      <c r="AI24" s="209"/>
      <c r="AJ24" s="209"/>
      <c r="AK24" s="209"/>
      <c r="AL24" s="208"/>
      <c r="AM24" s="209"/>
      <c r="AN24" s="209"/>
      <c r="AO24" s="119"/>
    </row>
    <row r="25" spans="1:41" s="38" customFormat="1" ht="15" hidden="1" customHeight="1" outlineLevel="1" x14ac:dyDescent="0.2">
      <c r="A25" s="212" t="s">
        <v>164</v>
      </c>
      <c r="B25" s="40"/>
      <c r="C25" s="40"/>
      <c r="D25" s="40"/>
      <c r="E25" s="77"/>
      <c r="F25" s="40"/>
      <c r="G25" s="40"/>
      <c r="H25" s="40"/>
      <c r="I25" s="40"/>
      <c r="J25" s="40"/>
      <c r="K25" s="40"/>
      <c r="L25" s="40"/>
      <c r="M25" s="40"/>
      <c r="N25" s="40"/>
      <c r="O25" s="40"/>
      <c r="P25" s="40"/>
      <c r="Q25" s="40"/>
      <c r="R25" s="40"/>
      <c r="S25" s="40"/>
      <c r="T25" s="40"/>
      <c r="U25" s="40"/>
      <c r="V25" s="40"/>
      <c r="W25" s="40"/>
      <c r="X25" s="40"/>
      <c r="Y25" s="40"/>
      <c r="Z25" s="47"/>
      <c r="AA25" s="40"/>
      <c r="AB25" s="40"/>
      <c r="AC25" s="40"/>
      <c r="AD25" s="40"/>
      <c r="AE25" s="205" t="str">
        <f t="shared" ref="AE25:AE30" si="6">A25</f>
        <v>paid break in</v>
      </c>
      <c r="AF25" s="188"/>
      <c r="AG25" s="213"/>
      <c r="AH25" s="214"/>
      <c r="AI25" s="209"/>
      <c r="AJ25" s="209"/>
      <c r="AK25" s="209"/>
      <c r="AL25" s="208"/>
      <c r="AM25" s="209"/>
      <c r="AN25" s="209"/>
      <c r="AO25" s="119"/>
    </row>
    <row r="26" spans="1:41" s="38" customFormat="1" ht="15" hidden="1" customHeight="1" outlineLevel="1" x14ac:dyDescent="0.2">
      <c r="A26" s="212" t="s">
        <v>165</v>
      </c>
      <c r="B26" s="40"/>
      <c r="C26" s="40"/>
      <c r="D26" s="40"/>
      <c r="E26" s="40"/>
      <c r="F26" s="40"/>
      <c r="G26" s="40"/>
      <c r="H26" s="40"/>
      <c r="I26" s="40"/>
      <c r="J26" s="40"/>
      <c r="K26" s="40"/>
      <c r="L26" s="40"/>
      <c r="M26" s="40"/>
      <c r="N26" s="40"/>
      <c r="O26" s="40"/>
      <c r="P26" s="40"/>
      <c r="Q26" s="40"/>
      <c r="R26" s="40"/>
      <c r="S26" s="40"/>
      <c r="T26" s="40"/>
      <c r="U26" s="40"/>
      <c r="V26" s="40"/>
      <c r="W26" s="40"/>
      <c r="X26" s="40"/>
      <c r="Y26" s="40"/>
      <c r="Z26" s="47"/>
      <c r="AA26" s="40"/>
      <c r="AB26" s="40"/>
      <c r="AC26" s="40"/>
      <c r="AD26" s="40"/>
      <c r="AE26" s="205" t="str">
        <f t="shared" si="6"/>
        <v>paid break out</v>
      </c>
      <c r="AF26" s="188"/>
      <c r="AG26" s="213"/>
      <c r="AH26" s="214"/>
      <c r="AI26" s="209"/>
      <c r="AJ26" s="209"/>
      <c r="AK26" s="209"/>
      <c r="AL26" s="208"/>
      <c r="AM26" s="209"/>
      <c r="AN26" s="209"/>
      <c r="AO26" s="119"/>
    </row>
    <row r="27" spans="1:41" s="38" customFormat="1" ht="15" hidden="1" customHeight="1" outlineLevel="1" x14ac:dyDescent="0.2">
      <c r="A27" s="212" t="s">
        <v>164</v>
      </c>
      <c r="B27" s="40"/>
      <c r="C27" s="40"/>
      <c r="D27" s="40"/>
      <c r="E27" s="40"/>
      <c r="F27" s="40"/>
      <c r="G27" s="40"/>
      <c r="H27" s="40"/>
      <c r="I27" s="40"/>
      <c r="J27" s="40"/>
      <c r="K27" s="40"/>
      <c r="L27" s="40"/>
      <c r="M27" s="40"/>
      <c r="N27" s="40"/>
      <c r="O27" s="40"/>
      <c r="P27" s="40"/>
      <c r="Q27" s="40"/>
      <c r="R27" s="40"/>
      <c r="S27" s="40"/>
      <c r="T27" s="40"/>
      <c r="U27" s="40"/>
      <c r="V27" s="40"/>
      <c r="W27" s="40"/>
      <c r="X27" s="40"/>
      <c r="Y27" s="40"/>
      <c r="Z27" s="47"/>
      <c r="AA27" s="40"/>
      <c r="AB27" s="40"/>
      <c r="AC27" s="40"/>
      <c r="AD27" s="40"/>
      <c r="AE27" s="205" t="str">
        <f t="shared" si="6"/>
        <v>paid break in</v>
      </c>
      <c r="AF27" s="188"/>
      <c r="AG27" s="213"/>
      <c r="AH27" s="214"/>
      <c r="AI27" s="209"/>
      <c r="AJ27" s="209"/>
      <c r="AK27" s="209"/>
      <c r="AL27" s="208"/>
      <c r="AM27" s="209"/>
      <c r="AN27" s="209"/>
      <c r="AO27" s="119"/>
    </row>
    <row r="28" spans="1:41" s="38" customFormat="1" ht="15" hidden="1" customHeight="1" outlineLevel="1" x14ac:dyDescent="0.2">
      <c r="A28" s="212" t="s">
        <v>165</v>
      </c>
      <c r="B28" s="40"/>
      <c r="C28" s="40"/>
      <c r="D28" s="40"/>
      <c r="E28" s="40"/>
      <c r="F28" s="40"/>
      <c r="G28" s="40"/>
      <c r="H28" s="40"/>
      <c r="I28" s="40"/>
      <c r="J28" s="40"/>
      <c r="K28" s="40"/>
      <c r="L28" s="40"/>
      <c r="M28" s="40"/>
      <c r="N28" s="40"/>
      <c r="O28" s="40"/>
      <c r="P28" s="40"/>
      <c r="Q28" s="40"/>
      <c r="R28" s="40"/>
      <c r="S28" s="40"/>
      <c r="T28" s="40"/>
      <c r="U28" s="40"/>
      <c r="V28" s="40"/>
      <c r="W28" s="40"/>
      <c r="X28" s="40"/>
      <c r="Y28" s="40"/>
      <c r="Z28" s="47"/>
      <c r="AA28" s="40"/>
      <c r="AB28" s="40"/>
      <c r="AC28" s="40"/>
      <c r="AD28" s="40"/>
      <c r="AE28" s="205" t="str">
        <f t="shared" si="6"/>
        <v>paid break out</v>
      </c>
      <c r="AF28" s="188"/>
      <c r="AG28" s="213"/>
      <c r="AH28" s="214"/>
      <c r="AI28" s="209"/>
      <c r="AJ28" s="209"/>
      <c r="AK28" s="209"/>
      <c r="AL28" s="208"/>
      <c r="AM28" s="209"/>
      <c r="AN28" s="209"/>
      <c r="AO28" s="119"/>
    </row>
    <row r="29" spans="1:41" s="38" customFormat="1" ht="15" hidden="1" customHeight="1" outlineLevel="1" x14ac:dyDescent="0.2">
      <c r="A29" s="212" t="s">
        <v>164</v>
      </c>
      <c r="B29" s="40"/>
      <c r="C29" s="40"/>
      <c r="D29" s="40"/>
      <c r="E29" s="40"/>
      <c r="F29" s="40"/>
      <c r="G29" s="40"/>
      <c r="H29" s="40"/>
      <c r="I29" s="40"/>
      <c r="J29" s="40"/>
      <c r="K29" s="40"/>
      <c r="L29" s="40"/>
      <c r="M29" s="40"/>
      <c r="N29" s="40"/>
      <c r="O29" s="40"/>
      <c r="P29" s="40"/>
      <c r="Q29" s="40"/>
      <c r="R29" s="40"/>
      <c r="S29" s="40"/>
      <c r="T29" s="40"/>
      <c r="U29" s="40"/>
      <c r="V29" s="40"/>
      <c r="W29" s="40"/>
      <c r="X29" s="40"/>
      <c r="Y29" s="40"/>
      <c r="Z29" s="47"/>
      <c r="AA29" s="40"/>
      <c r="AB29" s="40"/>
      <c r="AC29" s="40"/>
      <c r="AD29" s="40"/>
      <c r="AE29" s="205" t="str">
        <f t="shared" si="6"/>
        <v>paid break in</v>
      </c>
      <c r="AF29" s="188"/>
      <c r="AG29" s="213"/>
      <c r="AH29" s="214"/>
      <c r="AI29" s="209"/>
      <c r="AJ29" s="209"/>
      <c r="AK29" s="209"/>
      <c r="AL29" s="208"/>
      <c r="AM29" s="209"/>
      <c r="AN29" s="209"/>
      <c r="AO29" s="119"/>
    </row>
    <row r="30" spans="1:41" s="38" customFormat="1" ht="15" hidden="1" customHeight="1" outlineLevel="1" x14ac:dyDescent="0.2">
      <c r="A30" s="212" t="s">
        <v>165</v>
      </c>
      <c r="B30" s="40"/>
      <c r="C30" s="40"/>
      <c r="D30" s="40"/>
      <c r="E30" s="40"/>
      <c r="F30" s="40"/>
      <c r="G30" s="40"/>
      <c r="H30" s="40"/>
      <c r="I30" s="40"/>
      <c r="J30" s="40"/>
      <c r="K30" s="40"/>
      <c r="L30" s="40"/>
      <c r="M30" s="40"/>
      <c r="N30" s="40"/>
      <c r="O30" s="40"/>
      <c r="P30" s="40"/>
      <c r="Q30" s="40"/>
      <c r="R30" s="40"/>
      <c r="S30" s="40"/>
      <c r="T30" s="40"/>
      <c r="U30" s="40"/>
      <c r="V30" s="40"/>
      <c r="W30" s="40"/>
      <c r="X30" s="40"/>
      <c r="Y30" s="40"/>
      <c r="Z30" s="47"/>
      <c r="AA30" s="40"/>
      <c r="AB30" s="40"/>
      <c r="AC30" s="40"/>
      <c r="AD30" s="40"/>
      <c r="AE30" s="205" t="str">
        <f t="shared" si="6"/>
        <v>paid break out</v>
      </c>
      <c r="AF30" s="188"/>
      <c r="AG30" s="213"/>
      <c r="AH30" s="214"/>
      <c r="AI30" s="209"/>
      <c r="AJ30" s="209"/>
      <c r="AK30" s="209"/>
      <c r="AL30" s="208"/>
      <c r="AM30" s="209"/>
      <c r="AN30" s="209"/>
      <c r="AO30" s="119"/>
    </row>
    <row r="31" spans="1:41" s="38" customFormat="1" ht="3.75" hidden="1" customHeight="1" outlineLevel="1" x14ac:dyDescent="0.2">
      <c r="A31" s="220"/>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05"/>
      <c r="AF31" s="188"/>
      <c r="AG31" s="213"/>
      <c r="AH31" s="214"/>
      <c r="AI31" s="209"/>
      <c r="AJ31" s="209"/>
      <c r="AK31" s="209"/>
      <c r="AL31" s="208"/>
      <c r="AM31" s="209"/>
      <c r="AN31" s="209"/>
      <c r="AO31" s="119"/>
    </row>
    <row r="32" spans="1:41" s="38" customFormat="1" ht="15" hidden="1" customHeight="1" outlineLevel="1" x14ac:dyDescent="0.2">
      <c r="A32" s="215" t="s">
        <v>205</v>
      </c>
      <c r="B32" s="225">
        <f>ROUND((IF(MAX(0,B15-B14)&lt;1/24/60*180,MAX(0,B15-B14),0)+IF(MAX(0,B17-B16)&lt;1/24/60*180,MAX(0,B17-B16),0)+IF(MAX(0,B19-B18)&lt;1/24/60*180,MAX(0,B19-B18),0)+IF(MAX(0,B21-B20)&lt;1/24/60*180,MAX(0,B21-B20))+MAX(0,B26-B25)+MAX(0,B28-B27)+MAX(0,B30-B29))*1440,0)/1440</f>
        <v>0</v>
      </c>
      <c r="C32" s="225">
        <f t="shared" ref="C32:AD32" si="7">ROUND((IF(MAX(0,C15-C14)&lt;1/24/60*180,MAX(0,C15-C14),0)+IF(MAX(0,C17-C16)&lt;1/24/60*180,MAX(0,C17-C16),0)+IF(MAX(0,C19-C18)&lt;1/24/60*180,MAX(0,C19-C18),0)+IF(MAX(0,C21-C20)&lt;1/24/60*180,MAX(0,C21-C20))+MAX(0,C26-C25)+MAX(0,C28-C27)+MAX(0,C30-C29))*1440,0)/1440</f>
        <v>0</v>
      </c>
      <c r="D32" s="225">
        <f t="shared" si="7"/>
        <v>0</v>
      </c>
      <c r="E32" s="225">
        <f t="shared" si="7"/>
        <v>0</v>
      </c>
      <c r="F32" s="225">
        <f t="shared" si="7"/>
        <v>0</v>
      </c>
      <c r="G32" s="225">
        <f t="shared" si="7"/>
        <v>0</v>
      </c>
      <c r="H32" s="225">
        <f t="shared" si="7"/>
        <v>0</v>
      </c>
      <c r="I32" s="225">
        <f t="shared" si="7"/>
        <v>0</v>
      </c>
      <c r="J32" s="225">
        <f t="shared" si="7"/>
        <v>0</v>
      </c>
      <c r="K32" s="225">
        <f t="shared" si="7"/>
        <v>0</v>
      </c>
      <c r="L32" s="225">
        <f t="shared" si="7"/>
        <v>0</v>
      </c>
      <c r="M32" s="225">
        <f t="shared" si="7"/>
        <v>0</v>
      </c>
      <c r="N32" s="225">
        <f t="shared" si="7"/>
        <v>0</v>
      </c>
      <c r="O32" s="225">
        <f t="shared" si="7"/>
        <v>0</v>
      </c>
      <c r="P32" s="225">
        <f t="shared" si="7"/>
        <v>0</v>
      </c>
      <c r="Q32" s="225">
        <f t="shared" si="7"/>
        <v>0</v>
      </c>
      <c r="R32" s="225">
        <f t="shared" si="7"/>
        <v>0</v>
      </c>
      <c r="S32" s="225">
        <f t="shared" si="7"/>
        <v>0</v>
      </c>
      <c r="T32" s="225">
        <f t="shared" si="7"/>
        <v>0</v>
      </c>
      <c r="U32" s="225">
        <f t="shared" si="7"/>
        <v>0</v>
      </c>
      <c r="V32" s="225">
        <f t="shared" si="7"/>
        <v>0</v>
      </c>
      <c r="W32" s="225">
        <f t="shared" si="7"/>
        <v>0</v>
      </c>
      <c r="X32" s="225">
        <f t="shared" si="7"/>
        <v>0</v>
      </c>
      <c r="Y32" s="225">
        <f t="shared" si="7"/>
        <v>0</v>
      </c>
      <c r="Z32" s="225">
        <f t="shared" si="7"/>
        <v>0</v>
      </c>
      <c r="AA32" s="225">
        <f t="shared" si="7"/>
        <v>0</v>
      </c>
      <c r="AB32" s="225">
        <f t="shared" si="7"/>
        <v>0</v>
      </c>
      <c r="AC32" s="225">
        <f t="shared" si="7"/>
        <v>0</v>
      </c>
      <c r="AD32" s="225">
        <f t="shared" si="7"/>
        <v>0</v>
      </c>
      <c r="AE32" s="217" t="str">
        <f>A32</f>
        <v>Total breaks (in out/paid)</v>
      </c>
      <c r="AF32" s="218"/>
      <c r="AG32" s="219">
        <f>SUM(B32:AD32)</f>
        <v>0</v>
      </c>
      <c r="AH32" s="214"/>
      <c r="AI32" s="209"/>
      <c r="AJ32" s="209"/>
      <c r="AK32" s="209"/>
      <c r="AL32" s="208"/>
      <c r="AM32" s="209"/>
      <c r="AN32" s="209"/>
      <c r="AO32" s="119"/>
    </row>
    <row r="33" spans="1:41" s="38" customFormat="1" ht="3.75" customHeight="1" collapsed="1" x14ac:dyDescent="0.2">
      <c r="A33" s="220"/>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05"/>
      <c r="AF33" s="188"/>
      <c r="AG33" s="213"/>
      <c r="AH33" s="214"/>
      <c r="AI33" s="209"/>
      <c r="AJ33" s="209"/>
      <c r="AK33" s="209"/>
      <c r="AL33" s="208"/>
      <c r="AM33" s="209"/>
      <c r="AN33" s="209"/>
      <c r="AO33" s="119"/>
    </row>
    <row r="34" spans="1:41" s="38" customFormat="1" ht="15" customHeight="1" outlineLevel="1" x14ac:dyDescent="0.2">
      <c r="A34" s="212" t="s">
        <v>206</v>
      </c>
      <c r="B34" s="92" t="str">
        <f ca="1">IF(EB.Anwendung&lt;&gt;"",IF(EB.Wochenarbeitszeit=50/24,INDEX(T.Pikett.Bereich,1),IF(DAY(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34="B",INDEX(T.Pikett.Bereich,4),IF(A34="E",INDEX(T.Pikett.Bereich,1),A34)))),"")</f>
        <v>No</v>
      </c>
      <c r="C34" s="92" t="str">
        <f ca="1">IF(EB.Anwendung&lt;&gt;"",IF(EB.Wochenarbeitszeit=50/24,INDEX(T.Pikett.Bereich,1),IF(DAY(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B34="B",INDEX(T.Pikett.Bereich,4),IF(B34="E",INDEX(T.Pikett.Bereich,1),B34)))),"")</f>
        <v>No</v>
      </c>
      <c r="D34" s="92" t="str">
        <f ca="1">IF(EB.Anwendung&lt;&gt;"",IF(EB.Wochenarbeitszeit=50/24,INDEX(T.Pikett.Bereich,1),IF(DAY(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C34="B",INDEX(T.Pikett.Bereich,4),IF(C34="E",INDEX(T.Pikett.Bereich,1),C34)))),"")</f>
        <v>No</v>
      </c>
      <c r="E34" s="92" t="str">
        <f ca="1">IF(EB.Anwendung&lt;&gt;"",IF(EB.Wochenarbeitszeit=50/24,INDEX(T.Pikett.Bereich,1),IF(DAY(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D34="B",INDEX(T.Pikett.Bereich,4),IF(D34="E",INDEX(T.Pikett.Bereich,1),D34)))),"")</f>
        <v>No</v>
      </c>
      <c r="F34" s="92" t="str">
        <f ca="1">IF(EB.Anwendung&lt;&gt;"",IF(EB.Wochenarbeitszeit=50/24,INDEX(T.Pikett.Bereich,1),IF(DAY(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E34="B",INDEX(T.Pikett.Bereich,4),IF(E34="E",INDEX(T.Pikett.Bereich,1),E34)))),"")</f>
        <v>No</v>
      </c>
      <c r="G34" s="92" t="str">
        <f ca="1">IF(EB.Anwendung&lt;&gt;"",IF(EB.Wochenarbeitszeit=50/24,INDEX(T.Pikett.Bereich,1),IF(DAY(G$10)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F34="B",INDEX(T.Pikett.Bereich,4),IF(F34="E",INDEX(T.Pikett.Bereich,1),F34)))),"")</f>
        <v>No</v>
      </c>
      <c r="H34" s="92" t="str">
        <f ca="1">IF(EB.Anwendung&lt;&gt;"",IF(EB.Wochenarbeitszeit=50/24,INDEX(T.Pikett.Bereich,1),IF(DAY(H$10)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G34="B",INDEX(T.Pikett.Bereich,4),IF(G34="E",INDEX(T.Pikett.Bereich,1),G34)))),"")</f>
        <v>No</v>
      </c>
      <c r="I34" s="92" t="str">
        <f ca="1">IF(EB.Anwendung&lt;&gt;"",IF(EB.Wochenarbeitszeit=50/24,INDEX(T.Pikett.Bereich,1),IF(DAY(I$10)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H34="B",INDEX(T.Pikett.Bereich,4),IF(H34="E",INDEX(T.Pikett.Bereich,1),H34)))),"")</f>
        <v>No</v>
      </c>
      <c r="J34" s="92" t="str">
        <f ca="1">IF(EB.Anwendung&lt;&gt;"",IF(EB.Wochenarbeitszeit=50/24,INDEX(T.Pikett.Bereich,1),IF(DAY(J$10)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I34="B",INDEX(T.Pikett.Bereich,4),IF(I34="E",INDEX(T.Pikett.Bereich,1),I34)))),"")</f>
        <v>No</v>
      </c>
      <c r="K34" s="92" t="str">
        <f ca="1">IF(EB.Anwendung&lt;&gt;"",IF(EB.Wochenarbeitszeit=50/24,INDEX(T.Pikett.Bereich,1),IF(DAY(K$10)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J34="B",INDEX(T.Pikett.Bereich,4),IF(J34="E",INDEX(T.Pikett.Bereich,1),J34)))),"")</f>
        <v>No</v>
      </c>
      <c r="L34" s="92" t="str">
        <f ca="1">IF(EB.Anwendung&lt;&gt;"",IF(EB.Wochenarbeitszeit=50/24,INDEX(T.Pikett.Bereich,1),IF(DAY(L$10)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K34="B",INDEX(T.Pikett.Bereich,4),IF(K34="E",INDEX(T.Pikett.Bereich,1),K34)))),"")</f>
        <v>No</v>
      </c>
      <c r="M34" s="92" t="str">
        <f ca="1">IF(EB.Anwendung&lt;&gt;"",IF(EB.Wochenarbeitszeit=50/24,INDEX(T.Pikett.Bereich,1),IF(DAY(M$10)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L34="B",INDEX(T.Pikett.Bereich,4),IF(L34="E",INDEX(T.Pikett.Bereich,1),L34)))),"")</f>
        <v>No</v>
      </c>
      <c r="N34" s="92" t="str">
        <f ca="1">IF(EB.Anwendung&lt;&gt;"",IF(EB.Wochenarbeitszeit=50/24,INDEX(T.Pikett.Bereich,1),IF(DAY(N$10)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M34="B",INDEX(T.Pikett.Bereich,4),IF(M34="E",INDEX(T.Pikett.Bereich,1),M34)))),"")</f>
        <v>No</v>
      </c>
      <c r="O34" s="92" t="str">
        <f ca="1">IF(EB.Anwendung&lt;&gt;"",IF(EB.Wochenarbeitszeit=50/24,INDEX(T.Pikett.Bereich,1),IF(DAY(O$10)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N34="B",INDEX(T.Pikett.Bereich,4),IF(N34="E",INDEX(T.Pikett.Bereich,1),N34)))),"")</f>
        <v>No</v>
      </c>
      <c r="P34" s="92" t="str">
        <f ca="1">IF(EB.Anwendung&lt;&gt;"",IF(EB.Wochenarbeitszeit=50/24,INDEX(T.Pikett.Bereich,1),IF(DAY(P$10)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O34="B",INDEX(T.Pikett.Bereich,4),IF(O34="E",INDEX(T.Pikett.Bereich,1),O34)))),"")</f>
        <v>No</v>
      </c>
      <c r="Q34" s="92" t="str">
        <f ca="1">IF(EB.Anwendung&lt;&gt;"",IF(EB.Wochenarbeitszeit=50/24,INDEX(T.Pikett.Bereich,1),IF(DAY(Q$10)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P34="B",INDEX(T.Pikett.Bereich,4),IF(P34="E",INDEX(T.Pikett.Bereich,1),P34)))),"")</f>
        <v>No</v>
      </c>
      <c r="R34" s="92" t="str">
        <f ca="1">IF(EB.Anwendung&lt;&gt;"",IF(EB.Wochenarbeitszeit=50/24,INDEX(T.Pikett.Bereich,1),IF(DAY(R$10)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Q34="B",INDEX(T.Pikett.Bereich,4),IF(Q34="E",INDEX(T.Pikett.Bereich,1),Q34)))),"")</f>
        <v>No</v>
      </c>
      <c r="S34" s="92" t="str">
        <f ca="1">IF(EB.Anwendung&lt;&gt;"",IF(EB.Wochenarbeitszeit=50/24,INDEX(T.Pikett.Bereich,1),IF(DAY(S$10)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R34="B",INDEX(T.Pikett.Bereich,4),IF(R34="E",INDEX(T.Pikett.Bereich,1),R34)))),"")</f>
        <v>No</v>
      </c>
      <c r="T34" s="92" t="str">
        <f ca="1">IF(EB.Anwendung&lt;&gt;"",IF(EB.Wochenarbeitszeit=50/24,INDEX(T.Pikett.Bereich,1),IF(DAY(T$10)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S34="B",INDEX(T.Pikett.Bereich,4),IF(S34="E",INDEX(T.Pikett.Bereich,1),S34)))),"")</f>
        <v>No</v>
      </c>
      <c r="U34" s="92" t="str">
        <f ca="1">IF(EB.Anwendung&lt;&gt;"",IF(EB.Wochenarbeitszeit=50/24,INDEX(T.Pikett.Bereich,1),IF(DAY(U$10)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T34="B",INDEX(T.Pikett.Bereich,4),IF(T34="E",INDEX(T.Pikett.Bereich,1),T34)))),"")</f>
        <v>No</v>
      </c>
      <c r="V34" s="92" t="str">
        <f ca="1">IF(EB.Anwendung&lt;&gt;"",IF(EB.Wochenarbeitszeit=50/24,INDEX(T.Pikett.Bereich,1),IF(DAY(V$10)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U34="B",INDEX(T.Pikett.Bereich,4),IF(U34="E",INDEX(T.Pikett.Bereich,1),U34)))),"")</f>
        <v>No</v>
      </c>
      <c r="W34" s="92" t="str">
        <f ca="1">IF(EB.Anwendung&lt;&gt;"",IF(EB.Wochenarbeitszeit=50/24,INDEX(T.Pikett.Bereich,1),IF(DAY(W$10)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V34="B",INDEX(T.Pikett.Bereich,4),IF(V34="E",INDEX(T.Pikett.Bereich,1),V34)))),"")</f>
        <v>No</v>
      </c>
      <c r="X34" s="92" t="str">
        <f ca="1">IF(EB.Anwendung&lt;&gt;"",IF(EB.Wochenarbeitszeit=50/24,INDEX(T.Pikett.Bereich,1),IF(DAY(X$10)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W34="B",INDEX(T.Pikett.Bereich,4),IF(W34="E",INDEX(T.Pikett.Bereich,1),W34)))),"")</f>
        <v>No</v>
      </c>
      <c r="Y34" s="92" t="str">
        <f ca="1">IF(EB.Anwendung&lt;&gt;"",IF(EB.Wochenarbeitszeit=50/24,INDEX(T.Pikett.Bereich,1),IF(DAY(Y$10)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X34="B",INDEX(T.Pikett.Bereich,4),IF(X34="E",INDEX(T.Pikett.Bereich,1),X34)))),"")</f>
        <v>No</v>
      </c>
      <c r="Z34" s="92" t="str">
        <f ca="1">IF(EB.Anwendung&lt;&gt;"",IF(EB.Wochenarbeitszeit=50/24,INDEX(T.Pikett.Bereich,1),IF(DAY(Z$10)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Y34="B",INDEX(T.Pikett.Bereich,4),IF(Y34="E",INDEX(T.Pikett.Bereich,1),Y34)))),"")</f>
        <v>No</v>
      </c>
      <c r="AA34" s="92" t="str">
        <f ca="1">IF(EB.Anwendung&lt;&gt;"",IF(EB.Wochenarbeitszeit=50/24,INDEX(T.Pikett.Bereich,1),IF(DAY(AA$10)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Z34="B",INDEX(T.Pikett.Bereich,4),IF(Z34="E",INDEX(T.Pikett.Bereich,1),Z34)))),"")</f>
        <v>No</v>
      </c>
      <c r="AB34" s="92" t="str">
        <f ca="1">IF(EB.Anwendung&lt;&gt;"",IF(EB.Wochenarbeitszeit=50/24,INDEX(T.Pikett.Bereich,1),IF(DAY(A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A34="B",INDEX(T.Pikett.Bereich,4),IF(AA34="E",INDEX(T.Pikett.Bereich,1),AA34)))),"")</f>
        <v>No</v>
      </c>
      <c r="AC34" s="92" t="str">
        <f ca="1">IF(EB.Anwendung&lt;&gt;"",IF(EB.Wochenarbeitszeit=50/24,INDEX(T.Pikett.Bereich,1),IF(DAY(A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B34="B",INDEX(T.Pikett.Bereich,4),IF(AB34="E",INDEX(T.Pikett.Bereich,1),AB34)))),"")</f>
        <v>No</v>
      </c>
      <c r="AD34" s="92" t="str">
        <f ca="1">IF(EB.Anwendung&lt;&gt;"",IF(EB.Wochenarbeitszeit=50/24,INDEX(T.Pikett.Bereich,1),IF(DAY(A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C34="B",INDEX(T.Pikett.Bereich,4),IF(AC34="E",INDEX(T.Pikett.Bereich,1),AC34)))),"")</f>
        <v>No</v>
      </c>
      <c r="AE34" s="217" t="str">
        <f ca="1">IF(OFFSET(B34,0,DAY(EOMONTH(Monat.Tag1,0))-1,1,1)="B",INDEX(T.Pikett.Bereich,4),IF(OFFSET(B34,0,DAY(EOMONTH(Monat.Tag1,0))-1,1,1)="E",INDEX(T.Pikett.Bereich,1),OFFSET(B34,0,DAY(EOMONTH(Monat.Tag1,0))-1,1,1)))</f>
        <v>No</v>
      </c>
      <c r="AF34" s="228"/>
      <c r="AG34" s="224"/>
      <c r="AH34" s="229" t="str">
        <f ca="1">IF(T.50_Vetsuisse,IFERROR(SUMPRODUCT((B34:AD34=INDEX(T.Pikett.Bereich,4))*((B49:AD49)&lt;1/24*5)),0) &amp; " / " &amp; IFERROR(SUMPRODUCT((B34:AD34=INDEX(T.Pikett.Bereich,4))*((B49:AD49)&gt;=1/24*5)),0) &amp; " / " &amp; IFERROR(SUMPRODUCT((B34:AD34=INDEX(T.Pikett.Bereich,4))*((B49:AD49)&lt;1/24*5)),0) + IFERROR(SUMPRODUCT((B34:AD34=INDEX(T.Pikett.Bereich,4))*((B49:AD49)&gt;=1/24*5)),0),
IFERROR(SUMPRODUCT((B34:AD34=INDEX(T.Pikett.Bereich,4))*(WEEKDAY(B10:AD10,2)&lt;6)*(B11:AD11&lt;&gt;0)),0) &amp; " / " &amp; IFERROR(SUMPRODUCT((B34:AD34=INDEX(T.Pikett.Bereich,4))*(WEEKDAY(B10:AD10,2)&gt;5)*(B11:AD11&lt;&gt;0))+SUMPRODUCT((B34:AD34=INDEX(T.Pikett.Bereich,4))*(B11:AD11=0)),0) &amp; " / " &amp; IFERROR(SUMPRODUCT((B34:AD34=INDEX(T.Pikett.Bereich,4))*(WEEKDAY(B10:AD10,2)&lt;6)*(B11:AD11&lt;&gt;0)),0) + IFERROR(SUMPRODUCT((B34:AD34=INDEX(T.Pikett.Bereich,4))*(WEEKDAY(B10:AD10,2)&gt;5)*(B11:AD11&lt;&gt;0))+SUMPRODUCT((B34:AD34=INDEX(T.Pikett.Bereich,4))*(B11:AD11=0)),0))</f>
        <v>0 / 0 / 0</v>
      </c>
      <c r="AI34" s="209"/>
      <c r="AJ34" s="209"/>
      <c r="AK34" s="209"/>
      <c r="AL34" s="208"/>
      <c r="AM34" s="209"/>
      <c r="AN34" s="209"/>
      <c r="AO34" s="119"/>
    </row>
    <row r="35" spans="1:41" s="38" customFormat="1" ht="15" customHeight="1" outlineLevel="1" x14ac:dyDescent="0.2">
      <c r="A35" s="212" t="s">
        <v>74</v>
      </c>
      <c r="B35" s="40"/>
      <c r="C35" s="40"/>
      <c r="D35" s="40"/>
      <c r="E35" s="27"/>
      <c r="F35" s="40"/>
      <c r="G35" s="40"/>
      <c r="H35" s="40"/>
      <c r="I35" s="40"/>
      <c r="J35" s="27"/>
      <c r="K35" s="40"/>
      <c r="L35" s="27"/>
      <c r="M35" s="40"/>
      <c r="N35" s="40"/>
      <c r="O35" s="40"/>
      <c r="P35" s="40"/>
      <c r="Q35" s="27"/>
      <c r="R35" s="40"/>
      <c r="S35" s="27"/>
      <c r="T35" s="27"/>
      <c r="U35" s="40"/>
      <c r="V35" s="40"/>
      <c r="W35" s="40"/>
      <c r="X35" s="27"/>
      <c r="Y35" s="40"/>
      <c r="Z35" s="39"/>
      <c r="AA35" s="40"/>
      <c r="AB35" s="40"/>
      <c r="AC35" s="40"/>
      <c r="AD35" s="40"/>
      <c r="AE35" s="205" t="str">
        <f t="shared" ref="AE35:AE45" si="8">A35</f>
        <v>in</v>
      </c>
      <c r="AF35" s="188"/>
      <c r="AG35" s="213"/>
      <c r="AH35" s="214"/>
      <c r="AI35" s="209"/>
      <c r="AJ35" s="209"/>
      <c r="AK35" s="209"/>
      <c r="AL35" s="208"/>
      <c r="AM35" s="209"/>
      <c r="AN35" s="209"/>
      <c r="AO35" s="119"/>
    </row>
    <row r="36" spans="1:41" s="38" customFormat="1" ht="15" customHeight="1" outlineLevel="1" x14ac:dyDescent="0.2">
      <c r="A36" s="212" t="s">
        <v>75</v>
      </c>
      <c r="B36" s="40"/>
      <c r="C36" s="40"/>
      <c r="D36" s="40"/>
      <c r="E36" s="27"/>
      <c r="F36" s="40"/>
      <c r="G36" s="40"/>
      <c r="H36" s="40"/>
      <c r="I36" s="40"/>
      <c r="J36" s="27"/>
      <c r="K36" s="40"/>
      <c r="L36" s="27"/>
      <c r="M36" s="40"/>
      <c r="N36" s="40"/>
      <c r="O36" s="40"/>
      <c r="P36" s="40"/>
      <c r="Q36" s="27"/>
      <c r="R36" s="40"/>
      <c r="S36" s="27"/>
      <c r="T36" s="27"/>
      <c r="U36" s="40"/>
      <c r="V36" s="40"/>
      <c r="W36" s="40"/>
      <c r="X36" s="27"/>
      <c r="Y36" s="40"/>
      <c r="Z36" s="39"/>
      <c r="AA36" s="40"/>
      <c r="AB36" s="40"/>
      <c r="AC36" s="40"/>
      <c r="AD36" s="40"/>
      <c r="AE36" s="205" t="str">
        <f t="shared" si="8"/>
        <v>out</v>
      </c>
      <c r="AF36" s="188"/>
      <c r="AG36" s="213"/>
      <c r="AH36" s="214"/>
      <c r="AI36" s="209"/>
      <c r="AJ36" s="209"/>
      <c r="AK36" s="209"/>
      <c r="AL36" s="208"/>
      <c r="AM36" s="209"/>
      <c r="AN36" s="209"/>
      <c r="AO36" s="119"/>
    </row>
    <row r="37" spans="1:41" s="38" customFormat="1" ht="15" customHeight="1" outlineLevel="1" x14ac:dyDescent="0.2">
      <c r="A37" s="212" t="s">
        <v>74</v>
      </c>
      <c r="B37" s="40"/>
      <c r="C37" s="40"/>
      <c r="D37" s="40"/>
      <c r="E37" s="27"/>
      <c r="F37" s="40"/>
      <c r="G37" s="40"/>
      <c r="H37" s="40"/>
      <c r="I37" s="40"/>
      <c r="J37" s="27"/>
      <c r="K37" s="40"/>
      <c r="L37" s="27"/>
      <c r="M37" s="40"/>
      <c r="N37" s="40"/>
      <c r="O37" s="40"/>
      <c r="P37" s="40"/>
      <c r="Q37" s="27"/>
      <c r="R37" s="40"/>
      <c r="S37" s="27"/>
      <c r="T37" s="27"/>
      <c r="U37" s="40"/>
      <c r="V37" s="40"/>
      <c r="W37" s="40"/>
      <c r="X37" s="27"/>
      <c r="Y37" s="40"/>
      <c r="Z37" s="39"/>
      <c r="AA37" s="40"/>
      <c r="AB37" s="40"/>
      <c r="AC37" s="40"/>
      <c r="AD37" s="40"/>
      <c r="AE37" s="205" t="str">
        <f t="shared" si="8"/>
        <v>in</v>
      </c>
      <c r="AF37" s="188"/>
      <c r="AG37" s="213"/>
      <c r="AH37" s="214"/>
      <c r="AI37" s="209"/>
      <c r="AJ37" s="209"/>
      <c r="AK37" s="209"/>
      <c r="AL37" s="208"/>
      <c r="AM37" s="209"/>
      <c r="AN37" s="209"/>
      <c r="AO37" s="119"/>
    </row>
    <row r="38" spans="1:41" s="38" customFormat="1" ht="15" customHeight="1" outlineLevel="1" x14ac:dyDescent="0.2">
      <c r="A38" s="212" t="s">
        <v>75</v>
      </c>
      <c r="B38" s="40"/>
      <c r="C38" s="40"/>
      <c r="D38" s="40"/>
      <c r="E38" s="27"/>
      <c r="F38" s="40"/>
      <c r="G38" s="40"/>
      <c r="H38" s="40"/>
      <c r="I38" s="40"/>
      <c r="J38" s="27"/>
      <c r="K38" s="40"/>
      <c r="L38" s="27"/>
      <c r="M38" s="40"/>
      <c r="N38" s="40"/>
      <c r="O38" s="40"/>
      <c r="P38" s="40"/>
      <c r="Q38" s="27"/>
      <c r="R38" s="40"/>
      <c r="S38" s="27"/>
      <c r="T38" s="27"/>
      <c r="U38" s="40"/>
      <c r="V38" s="40"/>
      <c r="W38" s="40"/>
      <c r="X38" s="27"/>
      <c r="Y38" s="40"/>
      <c r="Z38" s="39"/>
      <c r="AA38" s="40"/>
      <c r="AB38" s="40"/>
      <c r="AC38" s="40"/>
      <c r="AD38" s="40"/>
      <c r="AE38" s="205" t="str">
        <f t="shared" si="8"/>
        <v>out</v>
      </c>
      <c r="AF38" s="188"/>
      <c r="AG38" s="213"/>
      <c r="AH38" s="214"/>
      <c r="AI38" s="209"/>
      <c r="AJ38" s="209"/>
      <c r="AK38" s="209"/>
      <c r="AL38" s="208"/>
      <c r="AM38" s="209"/>
      <c r="AN38" s="209"/>
      <c r="AO38" s="119"/>
    </row>
    <row r="39" spans="1:41" s="38" customFormat="1" ht="15" customHeight="1" outlineLevel="1" x14ac:dyDescent="0.2">
      <c r="A39" s="212" t="s">
        <v>74</v>
      </c>
      <c r="B39" s="40"/>
      <c r="C39" s="40"/>
      <c r="D39" s="40"/>
      <c r="E39" s="27"/>
      <c r="F39" s="40"/>
      <c r="G39" s="40"/>
      <c r="H39" s="40"/>
      <c r="I39" s="40"/>
      <c r="J39" s="27"/>
      <c r="K39" s="40"/>
      <c r="L39" s="27"/>
      <c r="M39" s="40"/>
      <c r="N39" s="40"/>
      <c r="O39" s="40"/>
      <c r="P39" s="40"/>
      <c r="Q39" s="27"/>
      <c r="R39" s="40"/>
      <c r="S39" s="27"/>
      <c r="T39" s="27"/>
      <c r="U39" s="40"/>
      <c r="V39" s="40"/>
      <c r="W39" s="40"/>
      <c r="X39" s="27"/>
      <c r="Y39" s="40"/>
      <c r="Z39" s="39"/>
      <c r="AA39" s="40"/>
      <c r="AB39" s="40"/>
      <c r="AC39" s="40"/>
      <c r="AD39" s="40"/>
      <c r="AE39" s="205" t="str">
        <f t="shared" si="8"/>
        <v>in</v>
      </c>
      <c r="AF39" s="188"/>
      <c r="AG39" s="213"/>
      <c r="AH39" s="214"/>
      <c r="AI39" s="209"/>
      <c r="AJ39" s="209"/>
      <c r="AK39" s="209"/>
      <c r="AL39" s="208"/>
      <c r="AM39" s="209"/>
      <c r="AN39" s="209"/>
      <c r="AO39" s="119"/>
    </row>
    <row r="40" spans="1:41" s="38" customFormat="1" ht="15" customHeight="1" outlineLevel="1" x14ac:dyDescent="0.2">
      <c r="A40" s="212" t="s">
        <v>75</v>
      </c>
      <c r="B40" s="40"/>
      <c r="C40" s="40"/>
      <c r="D40" s="40"/>
      <c r="E40" s="27"/>
      <c r="F40" s="40"/>
      <c r="G40" s="40"/>
      <c r="H40" s="40"/>
      <c r="I40" s="40"/>
      <c r="J40" s="27"/>
      <c r="K40" s="40"/>
      <c r="L40" s="27"/>
      <c r="M40" s="40"/>
      <c r="N40" s="40"/>
      <c r="O40" s="40"/>
      <c r="P40" s="40"/>
      <c r="Q40" s="27"/>
      <c r="R40" s="40"/>
      <c r="S40" s="27"/>
      <c r="T40" s="27"/>
      <c r="U40" s="40"/>
      <c r="V40" s="40"/>
      <c r="W40" s="40"/>
      <c r="X40" s="27"/>
      <c r="Y40" s="40"/>
      <c r="Z40" s="39"/>
      <c r="AA40" s="40"/>
      <c r="AB40" s="40"/>
      <c r="AC40" s="40"/>
      <c r="AD40" s="40"/>
      <c r="AE40" s="205" t="str">
        <f t="shared" si="8"/>
        <v>out</v>
      </c>
      <c r="AF40" s="188"/>
      <c r="AG40" s="213"/>
      <c r="AH40" s="214"/>
      <c r="AI40" s="209"/>
      <c r="AJ40" s="209"/>
      <c r="AK40" s="209"/>
      <c r="AL40" s="208"/>
      <c r="AM40" s="209"/>
      <c r="AN40" s="209"/>
      <c r="AO40" s="119"/>
    </row>
    <row r="41" spans="1:41" s="38" customFormat="1" ht="15" hidden="1" customHeight="1" outlineLevel="1" x14ac:dyDescent="0.2">
      <c r="A41" s="212" t="s">
        <v>74</v>
      </c>
      <c r="B41" s="40"/>
      <c r="C41" s="40"/>
      <c r="D41" s="40"/>
      <c r="E41" s="27"/>
      <c r="F41" s="40"/>
      <c r="G41" s="40"/>
      <c r="H41" s="40"/>
      <c r="I41" s="40"/>
      <c r="J41" s="27"/>
      <c r="K41" s="40"/>
      <c r="L41" s="27"/>
      <c r="M41" s="40"/>
      <c r="N41" s="40"/>
      <c r="O41" s="40"/>
      <c r="P41" s="40"/>
      <c r="Q41" s="27"/>
      <c r="R41" s="40"/>
      <c r="S41" s="27"/>
      <c r="T41" s="27"/>
      <c r="U41" s="40"/>
      <c r="V41" s="40"/>
      <c r="W41" s="40"/>
      <c r="X41" s="27"/>
      <c r="Y41" s="40"/>
      <c r="Z41" s="39"/>
      <c r="AA41" s="40"/>
      <c r="AB41" s="40"/>
      <c r="AC41" s="40"/>
      <c r="AD41" s="40"/>
      <c r="AE41" s="205" t="str">
        <f t="shared" si="8"/>
        <v>in</v>
      </c>
      <c r="AF41" s="188"/>
      <c r="AG41" s="213"/>
      <c r="AH41" s="214"/>
      <c r="AI41" s="209"/>
      <c r="AJ41" s="209"/>
      <c r="AK41" s="209"/>
      <c r="AL41" s="208"/>
      <c r="AM41" s="209"/>
      <c r="AN41" s="209"/>
      <c r="AO41" s="119"/>
    </row>
    <row r="42" spans="1:41" s="38" customFormat="1" ht="15" hidden="1" customHeight="1" outlineLevel="1" x14ac:dyDescent="0.2">
      <c r="A42" s="212" t="s">
        <v>75</v>
      </c>
      <c r="B42" s="40"/>
      <c r="C42" s="40"/>
      <c r="D42" s="40"/>
      <c r="E42" s="27"/>
      <c r="F42" s="40"/>
      <c r="G42" s="40"/>
      <c r="H42" s="40"/>
      <c r="I42" s="40"/>
      <c r="J42" s="27"/>
      <c r="K42" s="40"/>
      <c r="L42" s="27"/>
      <c r="M42" s="40"/>
      <c r="N42" s="40"/>
      <c r="O42" s="40"/>
      <c r="P42" s="40"/>
      <c r="Q42" s="27"/>
      <c r="R42" s="40"/>
      <c r="S42" s="27"/>
      <c r="T42" s="27"/>
      <c r="U42" s="40"/>
      <c r="V42" s="40"/>
      <c r="W42" s="40"/>
      <c r="X42" s="27"/>
      <c r="Y42" s="40"/>
      <c r="Z42" s="39"/>
      <c r="AA42" s="40"/>
      <c r="AB42" s="40"/>
      <c r="AC42" s="40"/>
      <c r="AD42" s="40"/>
      <c r="AE42" s="205" t="str">
        <f t="shared" si="8"/>
        <v>out</v>
      </c>
      <c r="AF42" s="188"/>
      <c r="AG42" s="213"/>
      <c r="AH42" s="214"/>
      <c r="AI42" s="209"/>
      <c r="AJ42" s="209"/>
      <c r="AK42" s="209"/>
      <c r="AL42" s="208"/>
      <c r="AM42" s="209"/>
      <c r="AN42" s="209"/>
      <c r="AO42" s="119"/>
    </row>
    <row r="43" spans="1:41" s="38" customFormat="1" ht="15" hidden="1" customHeight="1" outlineLevel="1" x14ac:dyDescent="0.2">
      <c r="A43" s="212" t="s">
        <v>74</v>
      </c>
      <c r="B43" s="40"/>
      <c r="C43" s="40"/>
      <c r="D43" s="40"/>
      <c r="E43" s="27"/>
      <c r="F43" s="40"/>
      <c r="G43" s="40"/>
      <c r="H43" s="40"/>
      <c r="I43" s="40"/>
      <c r="J43" s="27"/>
      <c r="K43" s="40"/>
      <c r="L43" s="27"/>
      <c r="M43" s="40"/>
      <c r="N43" s="40"/>
      <c r="O43" s="40"/>
      <c r="P43" s="40"/>
      <c r="Q43" s="27"/>
      <c r="R43" s="40"/>
      <c r="S43" s="27"/>
      <c r="T43" s="27"/>
      <c r="U43" s="40"/>
      <c r="V43" s="40"/>
      <c r="W43" s="40"/>
      <c r="X43" s="27"/>
      <c r="Y43" s="40"/>
      <c r="Z43" s="39"/>
      <c r="AA43" s="40"/>
      <c r="AB43" s="40"/>
      <c r="AC43" s="40"/>
      <c r="AD43" s="40"/>
      <c r="AE43" s="205" t="str">
        <f t="shared" si="8"/>
        <v>in</v>
      </c>
      <c r="AF43" s="188"/>
      <c r="AG43" s="213"/>
      <c r="AH43" s="214"/>
      <c r="AI43" s="209"/>
      <c r="AJ43" s="209"/>
      <c r="AK43" s="209"/>
      <c r="AL43" s="208"/>
      <c r="AM43" s="209"/>
      <c r="AN43" s="209"/>
      <c r="AO43" s="119"/>
    </row>
    <row r="44" spans="1:41" s="38" customFormat="1" ht="15" hidden="1" customHeight="1" outlineLevel="1" x14ac:dyDescent="0.2">
      <c r="A44" s="212" t="s">
        <v>75</v>
      </c>
      <c r="B44" s="40"/>
      <c r="C44" s="40"/>
      <c r="D44" s="40"/>
      <c r="E44" s="27"/>
      <c r="F44" s="40"/>
      <c r="G44" s="40"/>
      <c r="H44" s="40"/>
      <c r="I44" s="40"/>
      <c r="J44" s="27"/>
      <c r="K44" s="40"/>
      <c r="L44" s="27"/>
      <c r="M44" s="40"/>
      <c r="N44" s="40"/>
      <c r="O44" s="40"/>
      <c r="P44" s="40"/>
      <c r="Q44" s="27"/>
      <c r="R44" s="40"/>
      <c r="S44" s="27"/>
      <c r="T44" s="27"/>
      <c r="U44" s="40"/>
      <c r="V44" s="40"/>
      <c r="W44" s="40"/>
      <c r="X44" s="27"/>
      <c r="Y44" s="40"/>
      <c r="Z44" s="39"/>
      <c r="AA44" s="40"/>
      <c r="AB44" s="40"/>
      <c r="AC44" s="40"/>
      <c r="AD44" s="40"/>
      <c r="AE44" s="205" t="str">
        <f t="shared" si="8"/>
        <v>out</v>
      </c>
      <c r="AF44" s="188"/>
      <c r="AG44" s="213"/>
      <c r="AH44" s="214"/>
      <c r="AI44" s="209"/>
      <c r="AJ44" s="209"/>
      <c r="AK44" s="209"/>
      <c r="AL44" s="208"/>
      <c r="AM44" s="209"/>
      <c r="AN44" s="209"/>
      <c r="AO44" s="119"/>
    </row>
    <row r="45" spans="1:41" s="38" customFormat="1" ht="15" customHeight="1" outlineLevel="1" x14ac:dyDescent="0.2">
      <c r="A45" s="215" t="s">
        <v>207</v>
      </c>
      <c r="B45" s="216">
        <f>ROUND(((B36-B35)+(B38-B37)+(B40-B39)+(B42-B41)+(B44-B43))*1440,0)/1440</f>
        <v>0</v>
      </c>
      <c r="C45" s="216">
        <f t="shared" ref="C45:AD45" si="9">ROUND(((C36-C35)+(C38-C37)+(C40-C39)+(C42-C41)+(C44-C43))*1440,0)/1440</f>
        <v>0</v>
      </c>
      <c r="D45" s="216">
        <f t="shared" si="9"/>
        <v>0</v>
      </c>
      <c r="E45" s="216">
        <f t="shared" si="9"/>
        <v>0</v>
      </c>
      <c r="F45" s="216">
        <f t="shared" si="9"/>
        <v>0</v>
      </c>
      <c r="G45" s="216">
        <f t="shared" si="9"/>
        <v>0</v>
      </c>
      <c r="H45" s="216">
        <f t="shared" si="9"/>
        <v>0</v>
      </c>
      <c r="I45" s="216">
        <f t="shared" si="9"/>
        <v>0</v>
      </c>
      <c r="J45" s="216">
        <f t="shared" si="9"/>
        <v>0</v>
      </c>
      <c r="K45" s="216">
        <f t="shared" si="9"/>
        <v>0</v>
      </c>
      <c r="L45" s="216">
        <f t="shared" si="9"/>
        <v>0</v>
      </c>
      <c r="M45" s="216">
        <f t="shared" si="9"/>
        <v>0</v>
      </c>
      <c r="N45" s="216">
        <f t="shared" si="9"/>
        <v>0</v>
      </c>
      <c r="O45" s="216">
        <f t="shared" si="9"/>
        <v>0</v>
      </c>
      <c r="P45" s="216">
        <f t="shared" si="9"/>
        <v>0</v>
      </c>
      <c r="Q45" s="216">
        <f t="shared" si="9"/>
        <v>0</v>
      </c>
      <c r="R45" s="216">
        <f t="shared" si="9"/>
        <v>0</v>
      </c>
      <c r="S45" s="216">
        <f t="shared" si="9"/>
        <v>0</v>
      </c>
      <c r="T45" s="216">
        <f t="shared" si="9"/>
        <v>0</v>
      </c>
      <c r="U45" s="216">
        <f t="shared" si="9"/>
        <v>0</v>
      </c>
      <c r="V45" s="216">
        <f t="shared" si="9"/>
        <v>0</v>
      </c>
      <c r="W45" s="216">
        <f t="shared" si="9"/>
        <v>0</v>
      </c>
      <c r="X45" s="216">
        <f t="shared" si="9"/>
        <v>0</v>
      </c>
      <c r="Y45" s="216">
        <f t="shared" si="9"/>
        <v>0</v>
      </c>
      <c r="Z45" s="216">
        <f t="shared" si="9"/>
        <v>0</v>
      </c>
      <c r="AA45" s="216">
        <f t="shared" si="9"/>
        <v>0</v>
      </c>
      <c r="AB45" s="216">
        <f t="shared" si="9"/>
        <v>0</v>
      </c>
      <c r="AC45" s="216">
        <f t="shared" si="9"/>
        <v>0</v>
      </c>
      <c r="AD45" s="216">
        <f t="shared" si="9"/>
        <v>0</v>
      </c>
      <c r="AE45" s="217" t="str">
        <f t="shared" si="8"/>
        <v>Total on call standby in/out</v>
      </c>
      <c r="AF45" s="218"/>
      <c r="AG45" s="219">
        <f>SUM(B45:AD45)</f>
        <v>0</v>
      </c>
      <c r="AH45" s="214"/>
      <c r="AI45" s="209"/>
      <c r="AJ45" s="209"/>
      <c r="AK45" s="209"/>
      <c r="AL45" s="208"/>
      <c r="AM45" s="209"/>
      <c r="AN45" s="209"/>
      <c r="AO45" s="119"/>
    </row>
    <row r="46" spans="1:41" s="38" customFormat="1" ht="3.75" customHeight="1" x14ac:dyDescent="0.2">
      <c r="A46" s="220"/>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205"/>
      <c r="AF46" s="188"/>
      <c r="AG46" s="213"/>
      <c r="AH46" s="214"/>
      <c r="AI46" s="209"/>
      <c r="AJ46" s="209"/>
      <c r="AK46" s="209"/>
      <c r="AL46" s="208"/>
      <c r="AM46" s="209"/>
      <c r="AN46" s="209"/>
      <c r="AO46" s="119"/>
    </row>
    <row r="47" spans="1:41" s="38" customFormat="1" ht="16.5" hidden="1" customHeight="1" outlineLevel="1" x14ac:dyDescent="0.2">
      <c r="A47" s="215" t="s">
        <v>209</v>
      </c>
      <c r="B47" s="216">
        <f t="shared" ref="B47:AD47" si="10">IF(B45&gt;0,ROUND((B45-
IF(B35&lt;T.PikettVetsuissebis,MIN(T.PikettVetsuissebis-B35,B36-B35)+IF(B37&lt;T.PikettVetsuissebis,MIN(T.PikettVetsuissebis-B37,B38-B37)+IF(B39&lt;T.PikettVetsuissebis,MIN(T.PikettVetsuissebis-B39,B40-B39)+IF(B41&lt;T.PikettVetsuissebis,MIN(T.PikettVetsuissebis-B41,B42-B41)+IF(B43&lt;T.PikettVetsuissebis,MIN(T.PikettVetsuissebis-B43,B44-B43),0),0),0),0),0))*1440,0)/1440,0)</f>
        <v>0</v>
      </c>
      <c r="C47" s="216">
        <f t="shared" si="10"/>
        <v>0</v>
      </c>
      <c r="D47" s="216">
        <f t="shared" si="10"/>
        <v>0</v>
      </c>
      <c r="E47" s="216">
        <f t="shared" si="10"/>
        <v>0</v>
      </c>
      <c r="F47" s="216">
        <f t="shared" si="10"/>
        <v>0</v>
      </c>
      <c r="G47" s="216">
        <f t="shared" si="10"/>
        <v>0</v>
      </c>
      <c r="H47" s="216">
        <f t="shared" si="10"/>
        <v>0</v>
      </c>
      <c r="I47" s="216">
        <f t="shared" si="10"/>
        <v>0</v>
      </c>
      <c r="J47" s="216">
        <f t="shared" si="10"/>
        <v>0</v>
      </c>
      <c r="K47" s="216">
        <f t="shared" si="10"/>
        <v>0</v>
      </c>
      <c r="L47" s="216">
        <f t="shared" si="10"/>
        <v>0</v>
      </c>
      <c r="M47" s="216">
        <f t="shared" si="10"/>
        <v>0</v>
      </c>
      <c r="N47" s="216">
        <f t="shared" si="10"/>
        <v>0</v>
      </c>
      <c r="O47" s="216">
        <f t="shared" si="10"/>
        <v>0</v>
      </c>
      <c r="P47" s="216">
        <f t="shared" si="10"/>
        <v>0</v>
      </c>
      <c r="Q47" s="216">
        <f t="shared" si="10"/>
        <v>0</v>
      </c>
      <c r="R47" s="216">
        <f t="shared" si="10"/>
        <v>0</v>
      </c>
      <c r="S47" s="216">
        <f t="shared" si="10"/>
        <v>0</v>
      </c>
      <c r="T47" s="216">
        <f t="shared" si="10"/>
        <v>0</v>
      </c>
      <c r="U47" s="216">
        <f t="shared" si="10"/>
        <v>0</v>
      </c>
      <c r="V47" s="216">
        <f t="shared" si="10"/>
        <v>0</v>
      </c>
      <c r="W47" s="216">
        <f t="shared" si="10"/>
        <v>0</v>
      </c>
      <c r="X47" s="216">
        <f t="shared" si="10"/>
        <v>0</v>
      </c>
      <c r="Y47" s="216">
        <f t="shared" si="10"/>
        <v>0</v>
      </c>
      <c r="Z47" s="216">
        <f t="shared" si="10"/>
        <v>0</v>
      </c>
      <c r="AA47" s="216">
        <f t="shared" si="10"/>
        <v>0</v>
      </c>
      <c r="AB47" s="216">
        <f t="shared" si="10"/>
        <v>0</v>
      </c>
      <c r="AC47" s="216">
        <f t="shared" si="10"/>
        <v>0</v>
      </c>
      <c r="AD47" s="216">
        <f t="shared" si="10"/>
        <v>0</v>
      </c>
      <c r="AE47" s="217" t="str">
        <f>A47</f>
        <v>Total on call hours today</v>
      </c>
      <c r="AF47" s="188"/>
      <c r="AG47" s="213"/>
      <c r="AH47" s="214"/>
      <c r="AI47" s="209"/>
      <c r="AJ47" s="209"/>
      <c r="AK47" s="209"/>
      <c r="AL47" s="208"/>
      <c r="AM47" s="209"/>
      <c r="AN47" s="209"/>
      <c r="AO47" s="119"/>
    </row>
    <row r="48" spans="1:41" s="38" customFormat="1" ht="16.5" hidden="1" customHeight="1" outlineLevel="1" x14ac:dyDescent="0.2">
      <c r="A48" s="215" t="s">
        <v>208</v>
      </c>
      <c r="B48" s="225">
        <f t="shared" ref="B48:AD48" si="11">B45-B47</f>
        <v>0</v>
      </c>
      <c r="C48" s="225">
        <f t="shared" si="11"/>
        <v>0</v>
      </c>
      <c r="D48" s="225">
        <f t="shared" si="11"/>
        <v>0</v>
      </c>
      <c r="E48" s="225">
        <f t="shared" si="11"/>
        <v>0</v>
      </c>
      <c r="F48" s="225">
        <f t="shared" si="11"/>
        <v>0</v>
      </c>
      <c r="G48" s="225">
        <f t="shared" si="11"/>
        <v>0</v>
      </c>
      <c r="H48" s="225">
        <f t="shared" si="11"/>
        <v>0</v>
      </c>
      <c r="I48" s="225">
        <f t="shared" si="11"/>
        <v>0</v>
      </c>
      <c r="J48" s="225">
        <f t="shared" si="11"/>
        <v>0</v>
      </c>
      <c r="K48" s="225">
        <f t="shared" si="11"/>
        <v>0</v>
      </c>
      <c r="L48" s="225">
        <f t="shared" si="11"/>
        <v>0</v>
      </c>
      <c r="M48" s="225">
        <f t="shared" si="11"/>
        <v>0</v>
      </c>
      <c r="N48" s="225">
        <f t="shared" si="11"/>
        <v>0</v>
      </c>
      <c r="O48" s="225">
        <f t="shared" si="11"/>
        <v>0</v>
      </c>
      <c r="P48" s="225">
        <f t="shared" si="11"/>
        <v>0</v>
      </c>
      <c r="Q48" s="225">
        <f t="shared" si="11"/>
        <v>0</v>
      </c>
      <c r="R48" s="225">
        <f t="shared" si="11"/>
        <v>0</v>
      </c>
      <c r="S48" s="225">
        <f t="shared" si="11"/>
        <v>0</v>
      </c>
      <c r="T48" s="225">
        <f t="shared" si="11"/>
        <v>0</v>
      </c>
      <c r="U48" s="225">
        <f t="shared" si="11"/>
        <v>0</v>
      </c>
      <c r="V48" s="225">
        <f t="shared" si="11"/>
        <v>0</v>
      </c>
      <c r="W48" s="225">
        <f t="shared" si="11"/>
        <v>0</v>
      </c>
      <c r="X48" s="225">
        <f t="shared" si="11"/>
        <v>0</v>
      </c>
      <c r="Y48" s="225">
        <f t="shared" si="11"/>
        <v>0</v>
      </c>
      <c r="Z48" s="225">
        <f t="shared" si="11"/>
        <v>0</v>
      </c>
      <c r="AA48" s="225">
        <f t="shared" si="11"/>
        <v>0</v>
      </c>
      <c r="AB48" s="225">
        <f t="shared" si="11"/>
        <v>0</v>
      </c>
      <c r="AC48" s="225">
        <f t="shared" si="11"/>
        <v>0</v>
      </c>
      <c r="AD48" s="225">
        <f t="shared" si="11"/>
        <v>0</v>
      </c>
      <c r="AE48" s="217" t="str">
        <f>A48</f>
        <v>Total on call hours yesterday</v>
      </c>
      <c r="AF48" s="188"/>
      <c r="AG48" s="213"/>
      <c r="AH48" s="214"/>
      <c r="AI48" s="209"/>
      <c r="AJ48" s="209"/>
      <c r="AK48" s="230">
        <f ca="1">IF(EB.Anwendung&lt;&gt;"",IF(MONTH(Monat.Tag1)=12,0,IF(MONTH(Monat.Tag1)=1,February!Monat.PikettgesternTag1,IF(MONTH(Monat.Tag1)=2,March!Monat.PikettgesternTag1,IF(MONTH(Monat.Tag1)=3,April!Monat.PikettgesternTag1,IF(MONTH(Monat.Tag1)=4,May!Monat.PikettgesternTag1,IF(MONTH(Monat.Tag1)=5,June!Monat.PikettgesternTag1,IF(MONTH(Monat.Tag1)=6,July!Monat.PikettgesternTag1,IF(MONTH(Monat.Tag1)=7,August!Monat.PikettgesternTag1,IF(MONTH(Monat.Tag1)=8,September!Monat.PikettgesternTag1,IF(MONTH(Monat.Tag1)=9,October!Monat.PikettgesternTag1,IF(MONTH(Monat.Tag1)=10,November!Monat.PikettgesternTag1,IF(MONTH(Monat.Tag1)=11,December!Monat.PikettgesternTag1,"")))))))))))),"")</f>
        <v>0</v>
      </c>
      <c r="AL48" s="208"/>
      <c r="AM48" s="209"/>
      <c r="AN48" s="209"/>
      <c r="AO48" s="119"/>
    </row>
    <row r="49" spans="1:41" s="38" customFormat="1" ht="16.5" hidden="1" customHeight="1" outlineLevel="1" x14ac:dyDescent="0.2">
      <c r="A49" s="215" t="s">
        <v>210</v>
      </c>
      <c r="B49" s="216">
        <f t="shared" ref="B49:AC49" si="12">B47+IF(B$10=EOMONTH(B$10,0),$AK48,C48)</f>
        <v>0</v>
      </c>
      <c r="C49" s="216">
        <f t="shared" si="12"/>
        <v>0</v>
      </c>
      <c r="D49" s="216">
        <f t="shared" si="12"/>
        <v>0</v>
      </c>
      <c r="E49" s="216">
        <f t="shared" si="12"/>
        <v>0</v>
      </c>
      <c r="F49" s="216">
        <f t="shared" si="12"/>
        <v>0</v>
      </c>
      <c r="G49" s="216">
        <f t="shared" si="12"/>
        <v>0</v>
      </c>
      <c r="H49" s="216">
        <f t="shared" si="12"/>
        <v>0</v>
      </c>
      <c r="I49" s="216">
        <f t="shared" si="12"/>
        <v>0</v>
      </c>
      <c r="J49" s="216">
        <f t="shared" si="12"/>
        <v>0</v>
      </c>
      <c r="K49" s="216">
        <f t="shared" si="12"/>
        <v>0</v>
      </c>
      <c r="L49" s="216">
        <f t="shared" si="12"/>
        <v>0</v>
      </c>
      <c r="M49" s="216">
        <f t="shared" si="12"/>
        <v>0</v>
      </c>
      <c r="N49" s="216">
        <f t="shared" si="12"/>
        <v>0</v>
      </c>
      <c r="O49" s="216">
        <f t="shared" si="12"/>
        <v>0</v>
      </c>
      <c r="P49" s="216">
        <f t="shared" si="12"/>
        <v>0</v>
      </c>
      <c r="Q49" s="216">
        <f t="shared" si="12"/>
        <v>0</v>
      </c>
      <c r="R49" s="216">
        <f t="shared" si="12"/>
        <v>0</v>
      </c>
      <c r="S49" s="216">
        <f t="shared" si="12"/>
        <v>0</v>
      </c>
      <c r="T49" s="216">
        <f t="shared" si="12"/>
        <v>0</v>
      </c>
      <c r="U49" s="216">
        <f t="shared" si="12"/>
        <v>0</v>
      </c>
      <c r="V49" s="216">
        <f t="shared" si="12"/>
        <v>0</v>
      </c>
      <c r="W49" s="216">
        <f t="shared" si="12"/>
        <v>0</v>
      </c>
      <c r="X49" s="216">
        <f t="shared" si="12"/>
        <v>0</v>
      </c>
      <c r="Y49" s="216">
        <f t="shared" si="12"/>
        <v>0</v>
      </c>
      <c r="Z49" s="216">
        <f t="shared" si="12"/>
        <v>0</v>
      </c>
      <c r="AA49" s="216">
        <f t="shared" si="12"/>
        <v>0</v>
      </c>
      <c r="AB49" s="216">
        <f t="shared" si="12"/>
        <v>0</v>
      </c>
      <c r="AC49" s="216">
        <f t="shared" si="12"/>
        <v>0</v>
      </c>
      <c r="AD49" s="216">
        <f ca="1">AD47+IF(AD$10=EOMONTH(AD$10,0),$AK48,#REF!)</f>
        <v>0</v>
      </c>
      <c r="AE49" s="217" t="str">
        <f>A49</f>
        <v>Total on call standby hours</v>
      </c>
      <c r="AF49" s="218"/>
      <c r="AG49" s="219">
        <f ca="1">SUM(B49:AD49)</f>
        <v>0</v>
      </c>
      <c r="AH49" s="214"/>
      <c r="AI49" s="209"/>
      <c r="AJ49" s="209"/>
      <c r="AK49" s="209"/>
      <c r="AL49" s="208"/>
      <c r="AM49" s="209"/>
      <c r="AN49" s="209"/>
      <c r="AO49" s="119"/>
    </row>
    <row r="50" spans="1:41" s="38" customFormat="1" ht="3.75" customHeight="1" collapsed="1" x14ac:dyDescent="0.2">
      <c r="A50" s="231"/>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32"/>
      <c r="AF50" s="233"/>
      <c r="AG50" s="222"/>
      <c r="AH50" s="214"/>
      <c r="AI50" s="209"/>
      <c r="AJ50" s="209"/>
      <c r="AK50" s="209"/>
      <c r="AL50" s="208"/>
      <c r="AM50" s="209"/>
      <c r="AN50" s="209"/>
      <c r="AO50" s="119"/>
    </row>
    <row r="51" spans="1:41" s="38" customFormat="1" ht="15" customHeight="1" x14ac:dyDescent="0.2">
      <c r="A51" s="215" t="s">
        <v>76</v>
      </c>
      <c r="B51" s="234">
        <f>ROUND((B23+B45+B84+SUM(B86:B95)+IF(OR(T.50_Vetsuisse,T.ServiceCenterIrchel),B71,0))*1440,0)/1440</f>
        <v>0</v>
      </c>
      <c r="C51" s="234">
        <f t="shared" ref="C51:AD51" si="13">ROUND((C23+C45+C84+SUM(C86:C95)+IF(OR(T.50_Vetsuisse,T.ServiceCenterIrchel),C71,0))*1440,0)/1440</f>
        <v>0</v>
      </c>
      <c r="D51" s="234">
        <f t="shared" si="13"/>
        <v>0</v>
      </c>
      <c r="E51" s="235">
        <f t="shared" si="13"/>
        <v>0</v>
      </c>
      <c r="F51" s="234">
        <f t="shared" si="13"/>
        <v>0</v>
      </c>
      <c r="G51" s="234">
        <f t="shared" si="13"/>
        <v>0</v>
      </c>
      <c r="H51" s="234">
        <f t="shared" si="13"/>
        <v>0</v>
      </c>
      <c r="I51" s="234">
        <f t="shared" si="13"/>
        <v>0</v>
      </c>
      <c r="J51" s="236">
        <f t="shared" si="13"/>
        <v>0</v>
      </c>
      <c r="K51" s="234">
        <f t="shared" si="13"/>
        <v>0</v>
      </c>
      <c r="L51" s="236">
        <f t="shared" si="13"/>
        <v>0</v>
      </c>
      <c r="M51" s="234">
        <f t="shared" si="13"/>
        <v>0</v>
      </c>
      <c r="N51" s="234">
        <f t="shared" si="13"/>
        <v>0</v>
      </c>
      <c r="O51" s="234">
        <f t="shared" si="13"/>
        <v>0</v>
      </c>
      <c r="P51" s="234">
        <f t="shared" si="13"/>
        <v>0</v>
      </c>
      <c r="Q51" s="236">
        <f t="shared" si="13"/>
        <v>0</v>
      </c>
      <c r="R51" s="234">
        <f t="shared" si="13"/>
        <v>0</v>
      </c>
      <c r="S51" s="236">
        <f t="shared" si="13"/>
        <v>0</v>
      </c>
      <c r="T51" s="236">
        <f t="shared" si="13"/>
        <v>0</v>
      </c>
      <c r="U51" s="234">
        <f t="shared" si="13"/>
        <v>0</v>
      </c>
      <c r="V51" s="234">
        <f t="shared" si="13"/>
        <v>0</v>
      </c>
      <c r="W51" s="234">
        <f t="shared" si="13"/>
        <v>0</v>
      </c>
      <c r="X51" s="236">
        <f t="shared" si="13"/>
        <v>0</v>
      </c>
      <c r="Y51" s="234">
        <f t="shared" si="13"/>
        <v>0</v>
      </c>
      <c r="Z51" s="237">
        <f t="shared" si="13"/>
        <v>0</v>
      </c>
      <c r="AA51" s="234">
        <f t="shared" si="13"/>
        <v>0</v>
      </c>
      <c r="AB51" s="234">
        <f t="shared" si="13"/>
        <v>0</v>
      </c>
      <c r="AC51" s="234">
        <f t="shared" si="13"/>
        <v>0</v>
      </c>
      <c r="AD51" s="234">
        <f t="shared" si="13"/>
        <v>0</v>
      </c>
      <c r="AE51" s="217" t="str">
        <f t="shared" ref="AE51:AE56" si="14">A51</f>
        <v>Actual hours worked</v>
      </c>
      <c r="AF51" s="218"/>
      <c r="AG51" s="238">
        <f>SUM(B51:AD51)</f>
        <v>0</v>
      </c>
      <c r="AH51" s="214"/>
      <c r="AI51" s="209"/>
      <c r="AJ51" s="209"/>
      <c r="AK51" s="209"/>
      <c r="AL51" s="239">
        <f ca="1">IF(WEEKDAY(EOMONTH(Monat.Tag1,0),2)=7,0,MAX(0,SUM(OFFSET(B51,0,DAY(EOMONTH(Monat.Tag1,0))-WEEKDAY(EOMONTH(Monat.Tag1,0),2),1,WEEKDAY(EOMONTH(Monat.Tag1,0),2)))))</f>
        <v>0</v>
      </c>
      <c r="AM51" s="209"/>
      <c r="AN51" s="209"/>
      <c r="AO51" s="119"/>
    </row>
    <row r="52" spans="1:41" s="38" customFormat="1" ht="15" customHeight="1" outlineLevel="1" x14ac:dyDescent="0.2">
      <c r="A52" s="212" t="s">
        <v>211</v>
      </c>
      <c r="B52" s="78">
        <f t="shared" ref="B52:AD52" ca="1" si="15">IF(B$12=0,0,ROUND(INDEX(Monat.RAZ1_7.Bereich,WEEKDAY(B$10,2))*B$11*1440,0)/1440)</f>
        <v>0</v>
      </c>
      <c r="C52" s="78">
        <f t="shared" ca="1" si="15"/>
        <v>0</v>
      </c>
      <c r="D52" s="79">
        <f t="shared" ca="1" si="15"/>
        <v>0.35</v>
      </c>
      <c r="E52" s="78">
        <f t="shared" ca="1" si="15"/>
        <v>0.35</v>
      </c>
      <c r="F52" s="79">
        <f t="shared" ca="1" si="15"/>
        <v>0.35</v>
      </c>
      <c r="G52" s="79">
        <f t="shared" ca="1" si="15"/>
        <v>0.35</v>
      </c>
      <c r="H52" s="79">
        <f t="shared" ca="1" si="15"/>
        <v>0.35</v>
      </c>
      <c r="I52" s="79">
        <f t="shared" ca="1" si="15"/>
        <v>0</v>
      </c>
      <c r="J52" s="78">
        <f t="shared" ca="1" si="15"/>
        <v>0</v>
      </c>
      <c r="K52" s="79">
        <f t="shared" ca="1" si="15"/>
        <v>0.35</v>
      </c>
      <c r="L52" s="78">
        <f t="shared" ca="1" si="15"/>
        <v>0.35</v>
      </c>
      <c r="M52" s="79">
        <f t="shared" ca="1" si="15"/>
        <v>0.35</v>
      </c>
      <c r="N52" s="79">
        <f t="shared" ca="1" si="15"/>
        <v>0.35</v>
      </c>
      <c r="O52" s="79">
        <f t="shared" ca="1" si="15"/>
        <v>0.35</v>
      </c>
      <c r="P52" s="79">
        <f t="shared" ca="1" si="15"/>
        <v>0</v>
      </c>
      <c r="Q52" s="78">
        <f t="shared" ca="1" si="15"/>
        <v>0</v>
      </c>
      <c r="R52" s="79">
        <f t="shared" ca="1" si="15"/>
        <v>0.35</v>
      </c>
      <c r="S52" s="78">
        <f t="shared" ca="1" si="15"/>
        <v>0.35</v>
      </c>
      <c r="T52" s="78">
        <f t="shared" ca="1" si="15"/>
        <v>0.35</v>
      </c>
      <c r="U52" s="79">
        <f t="shared" ca="1" si="15"/>
        <v>0.35</v>
      </c>
      <c r="V52" s="79">
        <f t="shared" ca="1" si="15"/>
        <v>0.35</v>
      </c>
      <c r="W52" s="79">
        <f t="shared" ca="1" si="15"/>
        <v>0</v>
      </c>
      <c r="X52" s="78">
        <f t="shared" ca="1" si="15"/>
        <v>0</v>
      </c>
      <c r="Y52" s="79">
        <f t="shared" ca="1" si="15"/>
        <v>0.35</v>
      </c>
      <c r="Z52" s="80">
        <f t="shared" ca="1" si="15"/>
        <v>0.35</v>
      </c>
      <c r="AA52" s="79">
        <f t="shared" ca="1" si="15"/>
        <v>0.35</v>
      </c>
      <c r="AB52" s="79">
        <f t="shared" ca="1" si="15"/>
        <v>0.35</v>
      </c>
      <c r="AC52" s="79">
        <f t="shared" ca="1" si="15"/>
        <v>0.35</v>
      </c>
      <c r="AD52" s="79">
        <f t="shared" ca="1" si="15"/>
        <v>0</v>
      </c>
      <c r="AE52" s="240" t="str">
        <f t="shared" si="14"/>
        <v>Standardized hours (Info)</v>
      </c>
      <c r="AF52" s="218"/>
      <c r="AG52" s="213"/>
      <c r="AH52" s="214"/>
      <c r="AI52" s="209"/>
      <c r="AJ52" s="209"/>
      <c r="AK52" s="209"/>
      <c r="AL52" s="208"/>
      <c r="AM52" s="209"/>
      <c r="AN52" s="209"/>
      <c r="AO52" s="119"/>
    </row>
    <row r="53" spans="1:41" s="38" customFormat="1" ht="15" customHeight="1" x14ac:dyDescent="0.2">
      <c r="A53" s="212" t="s">
        <v>212</v>
      </c>
      <c r="B53" s="241">
        <f t="shared" ref="B53:AD53" ca="1" si="16">IF(B$12=0,0,ROUND(INDEX(EB.AZSOLLTag100.Bereich,MATCH(INDEX(EB.Monate.Bereich,MONTH(Monat.Tag1)),EB.Monate.Bereich,0))*B$11*IF(WEEKDAY(B$10,2)&gt;5,0,1)*$V$2/100*1440,0)/1440)</f>
        <v>0</v>
      </c>
      <c r="C53" s="241">
        <f t="shared" ca="1" si="16"/>
        <v>0</v>
      </c>
      <c r="D53" s="241">
        <f t="shared" ca="1" si="16"/>
        <v>0.35</v>
      </c>
      <c r="E53" s="241">
        <f t="shared" ca="1" si="16"/>
        <v>0.35</v>
      </c>
      <c r="F53" s="241">
        <f t="shared" ca="1" si="16"/>
        <v>0.35</v>
      </c>
      <c r="G53" s="241">
        <f t="shared" ca="1" si="16"/>
        <v>0.35</v>
      </c>
      <c r="H53" s="241">
        <f t="shared" ca="1" si="16"/>
        <v>0.35</v>
      </c>
      <c r="I53" s="241">
        <f t="shared" ca="1" si="16"/>
        <v>0</v>
      </c>
      <c r="J53" s="241">
        <f t="shared" ca="1" si="16"/>
        <v>0</v>
      </c>
      <c r="K53" s="241">
        <f t="shared" ca="1" si="16"/>
        <v>0.35</v>
      </c>
      <c r="L53" s="241">
        <f t="shared" ca="1" si="16"/>
        <v>0.35</v>
      </c>
      <c r="M53" s="241">
        <f t="shared" ca="1" si="16"/>
        <v>0.35</v>
      </c>
      <c r="N53" s="241">
        <f t="shared" ca="1" si="16"/>
        <v>0.35</v>
      </c>
      <c r="O53" s="241">
        <f t="shared" ca="1" si="16"/>
        <v>0.35</v>
      </c>
      <c r="P53" s="241">
        <f t="shared" ca="1" si="16"/>
        <v>0</v>
      </c>
      <c r="Q53" s="241">
        <f t="shared" ca="1" si="16"/>
        <v>0</v>
      </c>
      <c r="R53" s="241">
        <f t="shared" ca="1" si="16"/>
        <v>0.35</v>
      </c>
      <c r="S53" s="241">
        <f t="shared" ca="1" si="16"/>
        <v>0.35</v>
      </c>
      <c r="T53" s="241">
        <f t="shared" ca="1" si="16"/>
        <v>0.35</v>
      </c>
      <c r="U53" s="241">
        <f t="shared" ca="1" si="16"/>
        <v>0.35</v>
      </c>
      <c r="V53" s="241">
        <f t="shared" ca="1" si="16"/>
        <v>0.35</v>
      </c>
      <c r="W53" s="241">
        <f t="shared" ca="1" si="16"/>
        <v>0</v>
      </c>
      <c r="X53" s="241">
        <f t="shared" ca="1" si="16"/>
        <v>0</v>
      </c>
      <c r="Y53" s="241">
        <f t="shared" ca="1" si="16"/>
        <v>0.35</v>
      </c>
      <c r="Z53" s="241">
        <f t="shared" ca="1" si="16"/>
        <v>0.35</v>
      </c>
      <c r="AA53" s="241">
        <f t="shared" ca="1" si="16"/>
        <v>0.35</v>
      </c>
      <c r="AB53" s="241">
        <f t="shared" ca="1" si="16"/>
        <v>0.35</v>
      </c>
      <c r="AC53" s="241">
        <f t="shared" ca="1" si="16"/>
        <v>0.35</v>
      </c>
      <c r="AD53" s="241">
        <f t="shared" ca="1" si="16"/>
        <v>0</v>
      </c>
      <c r="AE53" s="205" t="str">
        <f t="shared" si="14"/>
        <v>Req. hours of work FTE</v>
      </c>
      <c r="AF53" s="218"/>
      <c r="AG53" s="238">
        <f ca="1">SUM(B53:AD53)</f>
        <v>6.9999999999999973</v>
      </c>
      <c r="AH53" s="214"/>
      <c r="AI53" s="209"/>
      <c r="AJ53" s="209"/>
      <c r="AK53" s="209"/>
      <c r="AL53" s="208"/>
      <c r="AM53" s="209"/>
      <c r="AN53" s="209"/>
      <c r="AO53" s="119"/>
    </row>
    <row r="54" spans="1:41" s="38" customFormat="1" ht="15" hidden="1" customHeight="1" outlineLevel="1" x14ac:dyDescent="0.2">
      <c r="A54" s="212" t="s">
        <v>213</v>
      </c>
      <c r="B54" s="241">
        <f t="shared" ref="B54:AD54" ca="1" si="17">ROUND(INDEX(EB.AZSOLLTag100.Bereich,MATCH(INDEX(EB.Monate.Bereich,MONTH(Monat.Tag1)),EB.Monate.Bereich,0))*B$11*IF(WEEKDAY(B$10,2)&gt;5,0,1)*1440,0)/1440</f>
        <v>0</v>
      </c>
      <c r="C54" s="241">
        <f t="shared" ca="1" si="17"/>
        <v>0</v>
      </c>
      <c r="D54" s="242">
        <f t="shared" ca="1" si="17"/>
        <v>0.35</v>
      </c>
      <c r="E54" s="241">
        <f t="shared" ca="1" si="17"/>
        <v>0.35</v>
      </c>
      <c r="F54" s="242">
        <f t="shared" ca="1" si="17"/>
        <v>0.35</v>
      </c>
      <c r="G54" s="242">
        <f t="shared" ca="1" si="17"/>
        <v>0.35</v>
      </c>
      <c r="H54" s="242">
        <f t="shared" ca="1" si="17"/>
        <v>0.35</v>
      </c>
      <c r="I54" s="242">
        <f t="shared" ca="1" si="17"/>
        <v>0</v>
      </c>
      <c r="J54" s="241">
        <f t="shared" ca="1" si="17"/>
        <v>0</v>
      </c>
      <c r="K54" s="242">
        <f t="shared" ca="1" si="17"/>
        <v>0.35</v>
      </c>
      <c r="L54" s="241">
        <f t="shared" ca="1" si="17"/>
        <v>0.35</v>
      </c>
      <c r="M54" s="242">
        <f t="shared" ca="1" si="17"/>
        <v>0.35</v>
      </c>
      <c r="N54" s="242">
        <f t="shared" ca="1" si="17"/>
        <v>0.35</v>
      </c>
      <c r="O54" s="242">
        <f t="shared" ca="1" si="17"/>
        <v>0.35</v>
      </c>
      <c r="P54" s="242">
        <f t="shared" ca="1" si="17"/>
        <v>0</v>
      </c>
      <c r="Q54" s="241">
        <f t="shared" ca="1" si="17"/>
        <v>0</v>
      </c>
      <c r="R54" s="242">
        <f t="shared" ca="1" si="17"/>
        <v>0.35</v>
      </c>
      <c r="S54" s="241">
        <f t="shared" ca="1" si="17"/>
        <v>0.35</v>
      </c>
      <c r="T54" s="241">
        <f t="shared" ca="1" si="17"/>
        <v>0.35</v>
      </c>
      <c r="U54" s="242">
        <f t="shared" ca="1" si="17"/>
        <v>0.35</v>
      </c>
      <c r="V54" s="242">
        <f t="shared" ca="1" si="17"/>
        <v>0.35</v>
      </c>
      <c r="W54" s="242">
        <f t="shared" ca="1" si="17"/>
        <v>0</v>
      </c>
      <c r="X54" s="241">
        <f t="shared" ca="1" si="17"/>
        <v>0</v>
      </c>
      <c r="Y54" s="242">
        <f t="shared" ca="1" si="17"/>
        <v>0.35</v>
      </c>
      <c r="Z54" s="243">
        <f t="shared" ca="1" si="17"/>
        <v>0.35</v>
      </c>
      <c r="AA54" s="242">
        <f t="shared" ca="1" si="17"/>
        <v>0.35</v>
      </c>
      <c r="AB54" s="242">
        <f t="shared" ca="1" si="17"/>
        <v>0.35</v>
      </c>
      <c r="AC54" s="242">
        <f t="shared" ca="1" si="17"/>
        <v>0.35</v>
      </c>
      <c r="AD54" s="242">
        <f t="shared" ca="1" si="17"/>
        <v>0</v>
      </c>
      <c r="AE54" s="205" t="str">
        <f t="shared" si="14"/>
        <v>Req. hours of work 100%</v>
      </c>
      <c r="AF54" s="218"/>
      <c r="AG54" s="238">
        <f ca="1">SUM(B54:AD54)</f>
        <v>6.9999999999999973</v>
      </c>
      <c r="AH54" s="214"/>
      <c r="AI54" s="209"/>
      <c r="AJ54" s="209"/>
      <c r="AK54" s="209"/>
      <c r="AL54" s="208"/>
      <c r="AM54" s="209"/>
      <c r="AN54" s="209"/>
      <c r="AO54" s="119"/>
    </row>
    <row r="55" spans="1:41" s="38" customFormat="1" ht="15" customHeight="1" collapsed="1" x14ac:dyDescent="0.2">
      <c r="A55" s="244" t="s">
        <v>77</v>
      </c>
      <c r="B55" s="234">
        <f ca="1">ROUND((B51-B53)*1440,0)/1440</f>
        <v>0</v>
      </c>
      <c r="C55" s="234">
        <f t="shared" ref="C55:AD55" ca="1" si="18">ROUND((C51-C53)*1440,0)/1440</f>
        <v>0</v>
      </c>
      <c r="D55" s="234">
        <f t="shared" ca="1" si="18"/>
        <v>-0.35</v>
      </c>
      <c r="E55" s="236">
        <f t="shared" ca="1" si="18"/>
        <v>-0.35</v>
      </c>
      <c r="F55" s="234">
        <f t="shared" ca="1" si="18"/>
        <v>-0.35</v>
      </c>
      <c r="G55" s="234">
        <f t="shared" ca="1" si="18"/>
        <v>-0.35</v>
      </c>
      <c r="H55" s="234">
        <f t="shared" ca="1" si="18"/>
        <v>-0.35</v>
      </c>
      <c r="I55" s="234">
        <f t="shared" ca="1" si="18"/>
        <v>0</v>
      </c>
      <c r="J55" s="236">
        <f t="shared" ca="1" si="18"/>
        <v>0</v>
      </c>
      <c r="K55" s="234">
        <f t="shared" ca="1" si="18"/>
        <v>-0.35</v>
      </c>
      <c r="L55" s="236">
        <f t="shared" ca="1" si="18"/>
        <v>-0.35</v>
      </c>
      <c r="M55" s="234">
        <f t="shared" ca="1" si="18"/>
        <v>-0.35</v>
      </c>
      <c r="N55" s="234">
        <f t="shared" ca="1" si="18"/>
        <v>-0.35</v>
      </c>
      <c r="O55" s="234">
        <f t="shared" ca="1" si="18"/>
        <v>-0.35</v>
      </c>
      <c r="P55" s="234">
        <f t="shared" ca="1" si="18"/>
        <v>0</v>
      </c>
      <c r="Q55" s="236">
        <f t="shared" ca="1" si="18"/>
        <v>0</v>
      </c>
      <c r="R55" s="234">
        <f t="shared" ca="1" si="18"/>
        <v>-0.35</v>
      </c>
      <c r="S55" s="236">
        <f t="shared" ca="1" si="18"/>
        <v>-0.35</v>
      </c>
      <c r="T55" s="236">
        <f t="shared" ca="1" si="18"/>
        <v>-0.35</v>
      </c>
      <c r="U55" s="234">
        <f t="shared" ca="1" si="18"/>
        <v>-0.35</v>
      </c>
      <c r="V55" s="234">
        <f t="shared" ca="1" si="18"/>
        <v>-0.35</v>
      </c>
      <c r="W55" s="234">
        <f t="shared" ca="1" si="18"/>
        <v>0</v>
      </c>
      <c r="X55" s="236">
        <f t="shared" ca="1" si="18"/>
        <v>0</v>
      </c>
      <c r="Y55" s="234">
        <f t="shared" ca="1" si="18"/>
        <v>-0.35</v>
      </c>
      <c r="Z55" s="237">
        <f t="shared" ca="1" si="18"/>
        <v>-0.35</v>
      </c>
      <c r="AA55" s="234">
        <f t="shared" ca="1" si="18"/>
        <v>-0.35</v>
      </c>
      <c r="AB55" s="234">
        <f t="shared" ca="1" si="18"/>
        <v>-0.35</v>
      </c>
      <c r="AC55" s="234">
        <f t="shared" ca="1" si="18"/>
        <v>-0.35</v>
      </c>
      <c r="AD55" s="234">
        <f t="shared" ca="1" si="18"/>
        <v>0</v>
      </c>
      <c r="AE55" s="205" t="str">
        <f t="shared" si="14"/>
        <v>+/- required/actual hours daily</v>
      </c>
      <c r="AF55" s="218"/>
      <c r="AG55" s="238">
        <f ca="1">SUM(B55:AD55)</f>
        <v>-6.9999999999999973</v>
      </c>
      <c r="AH55" s="214"/>
      <c r="AI55" s="209"/>
      <c r="AJ55" s="245">
        <f ca="1">IF(EB.Anwendung&lt;&gt;"",IF(MONTH(Monat.Tag1)=1,0,IF(MONTH(Monat.Tag1)=2,January!Monat.Soll_Ist_UeVM,IF(MONTH(Monat.Tag1)=3,February!Monat.Soll_Ist_UeVM,IF(MONTH(Monat.Tag1)=4,March!Monat.Soll_Ist_UeVM,IF(MONTH(Monat.Tag1)=5,April!Monat.Soll_Ist_UeVM,IF(MONTH(Monat.Tag1)=6,May!Monat.Soll_Ist_UeVM,IF(MONTH(Monat.Tag1)=7,June!Monat.Soll_Ist_UeVM,IF(MONTH(Monat.Tag1)=8,July!Monat.Soll_Ist_UeVM,IF(MONTH(Monat.Tag1)=9,August!Monat.Soll_Ist_UeVM,IF(MONTH(Monat.Tag1)=10,September!Monat.Soll_Ist_UeVM,IF(MONTH(Monat.Tag1)=11,October!Monat.Soll_Ist_UeVM,IF(MONTH(Monat.Tag1)=12,November!Monat.Soll_Ist_UeVM,"")))))))))))),"")</f>
        <v>-7.349999999999997</v>
      </c>
      <c r="AK55" s="209"/>
      <c r="AL55" s="246">
        <f ca="1">IF(AF57="+",(AG55+AG57),(AG55-AG57))</f>
        <v>-6.9999999999999973</v>
      </c>
      <c r="AM55" s="246">
        <f ca="1">SUM(OFFSET(J.AZSaldo.Total,-12,0,MONTH(Monat.Tag1),1))</f>
        <v>-14.349999999999994</v>
      </c>
      <c r="AN55" s="246">
        <f ca="1">J.AZSaldo.Total</f>
        <v>-88.07499999999996</v>
      </c>
      <c r="AO55" s="119"/>
    </row>
    <row r="56" spans="1:41" s="38" customFormat="1" ht="15" customHeight="1" x14ac:dyDescent="0.2">
      <c r="A56" s="244" t="s">
        <v>214</v>
      </c>
      <c r="B56" s="247">
        <f ca="1">IF(EB.Anwendung&lt;&gt;"",IF(DAY(B$10)=1,IF(MONTH(Monat.Tag1)=1,ROUND(EB.ÜVMMS*1440,0)/1440,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B$10&gt;TODAY(),EB.UJAustritt=""),0,B55),
IF(AND(B$10&gt;TODAY(),EB.UJAustritt=""),A56,A56+B55)),"")</f>
        <v>0</v>
      </c>
      <c r="C56" s="247">
        <f ca="1">IF(EB.Anwendung&lt;&gt;"",IF(DAY(C$10)=1,IF(MONTH(Monat.Tag1)=1,ROUND(EB.ÜVMMS*1440,0)/1440,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C$10&gt;TODAY(),EB.UJAustritt=""),0,C55),
IF(AND(C$10&gt;TODAY(),EB.UJAustritt=""),B56,B56+C55)),"")</f>
        <v>0</v>
      </c>
      <c r="D56" s="247">
        <f ca="1">IF(EB.Anwendung&lt;&gt;"",IF(DAY(D$10)=1,IF(MONTH(Monat.Tag1)=1,ROUND(EB.ÜVMMS*1440,0)/1440,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D$10&gt;TODAY(),EB.UJAustritt=""),0,D55),
IF(AND(D$10&gt;TODAY(),EB.UJAustritt=""),C56,C56+D55)),"")</f>
        <v>0</v>
      </c>
      <c r="E56" s="247">
        <f ca="1">IF(EB.Anwendung&lt;&gt;"",IF(DAY(E$10)=1,IF(MONTH(Monat.Tag1)=1,ROUND(EB.ÜVMMS*1440,0)/1440,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E$10&gt;TODAY(),EB.UJAustritt=""),0,E55),
IF(AND(E$10&gt;TODAY(),EB.UJAustritt=""),D56,D56+E55)),"")</f>
        <v>0</v>
      </c>
      <c r="F56" s="247">
        <f ca="1">IF(EB.Anwendung&lt;&gt;"",IF(DAY(F$10)=1,IF(MONTH(Monat.Tag1)=1,ROUND(EB.ÜVMMS*1440,0)/1440,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F$10&gt;TODAY(),EB.UJAustritt=""),0,F55),
IF(AND(F$10&gt;TODAY(),EB.UJAustritt=""),E56,E56+F55)),"")</f>
        <v>0</v>
      </c>
      <c r="G56" s="247">
        <f ca="1">IF(EB.Anwendung&lt;&gt;"",IF(DAY(G$10)=1,IF(MONTH(Monat.Tag1)=1,ROUND(EB.ÜVMMS*1440,0)/1440,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G$10&gt;TODAY(),EB.UJAustritt=""),0,G55),
IF(AND(G$10&gt;TODAY(),EB.UJAustritt=""),F56,F56+G55)),"")</f>
        <v>0</v>
      </c>
      <c r="H56" s="247">
        <f ca="1">IF(EB.Anwendung&lt;&gt;"",IF(DAY(H$10)=1,IF(MONTH(Monat.Tag1)=1,ROUND(EB.ÜVMMS*1440,0)/1440,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H$10&gt;TODAY(),EB.UJAustritt=""),0,H55),
IF(AND(H$10&gt;TODAY(),EB.UJAustritt=""),G56,G56+H55)),"")</f>
        <v>0</v>
      </c>
      <c r="I56" s="247">
        <f ca="1">IF(EB.Anwendung&lt;&gt;"",IF(DAY(I$10)=1,IF(MONTH(Monat.Tag1)=1,ROUND(EB.ÜVMMS*1440,0)/1440,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I$10&gt;TODAY(),EB.UJAustritt=""),0,I55),
IF(AND(I$10&gt;TODAY(),EB.UJAustritt=""),H56,H56+I55)),"")</f>
        <v>0</v>
      </c>
      <c r="J56" s="247">
        <f ca="1">IF(EB.Anwendung&lt;&gt;"",IF(DAY(J$10)=1,IF(MONTH(Monat.Tag1)=1,ROUND(EB.ÜVMMS*1440,0)/1440,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J$10&gt;TODAY(),EB.UJAustritt=""),0,J55),
IF(AND(J$10&gt;TODAY(),EB.UJAustritt=""),I56,I56+J55)),"")</f>
        <v>0</v>
      </c>
      <c r="K56" s="247">
        <f ca="1">IF(EB.Anwendung&lt;&gt;"",IF(DAY(K$10)=1,IF(MONTH(Monat.Tag1)=1,ROUND(EB.ÜVMMS*1440,0)/1440,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K$10&gt;TODAY(),EB.UJAustritt=""),0,K55),
IF(AND(K$10&gt;TODAY(),EB.UJAustritt=""),J56,J56+K55)),"")</f>
        <v>0</v>
      </c>
      <c r="L56" s="247">
        <f ca="1">IF(EB.Anwendung&lt;&gt;"",IF(DAY(L$10)=1,IF(MONTH(Monat.Tag1)=1,ROUND(EB.ÜVMMS*1440,0)/1440,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L$10&gt;TODAY(),EB.UJAustritt=""),0,L55),
IF(AND(L$10&gt;TODAY(),EB.UJAustritt=""),K56,K56+L55)),"")</f>
        <v>0</v>
      </c>
      <c r="M56" s="247">
        <f ca="1">IF(EB.Anwendung&lt;&gt;"",IF(DAY(M$10)=1,IF(MONTH(Monat.Tag1)=1,ROUND(EB.ÜVMMS*1440,0)/1440,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M$10&gt;TODAY(),EB.UJAustritt=""),0,M55),
IF(AND(M$10&gt;TODAY(),EB.UJAustritt=""),L56,L56+M55)),"")</f>
        <v>0</v>
      </c>
      <c r="N56" s="247">
        <f ca="1">IF(EB.Anwendung&lt;&gt;"",IF(DAY(N$10)=1,IF(MONTH(Monat.Tag1)=1,ROUND(EB.ÜVMMS*1440,0)/1440,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N$10&gt;TODAY(),EB.UJAustritt=""),0,N55),
IF(AND(N$10&gt;TODAY(),EB.UJAustritt=""),M56,M56+N55)),"")</f>
        <v>0</v>
      </c>
      <c r="O56" s="247">
        <f ca="1">IF(EB.Anwendung&lt;&gt;"",IF(DAY(O$10)=1,IF(MONTH(Monat.Tag1)=1,ROUND(EB.ÜVMMS*1440,0)/1440,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O$10&gt;TODAY(),EB.UJAustritt=""),0,O55),
IF(AND(O$10&gt;TODAY(),EB.UJAustritt=""),N56,N56+O55)),"")</f>
        <v>0</v>
      </c>
      <c r="P56" s="247">
        <f ca="1">IF(EB.Anwendung&lt;&gt;"",IF(DAY(P$10)=1,IF(MONTH(Monat.Tag1)=1,ROUND(EB.ÜVMMS*1440,0)/1440,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P$10&gt;TODAY(),EB.UJAustritt=""),0,P55),
IF(AND(P$10&gt;TODAY(),EB.UJAustritt=""),O56,O56+P55)),"")</f>
        <v>0</v>
      </c>
      <c r="Q56" s="247">
        <f ca="1">IF(EB.Anwendung&lt;&gt;"",IF(DAY(Q$10)=1,IF(MONTH(Monat.Tag1)=1,ROUND(EB.ÜVMMS*1440,0)/1440,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Q$10&gt;TODAY(),EB.UJAustritt=""),0,Q55),
IF(AND(Q$10&gt;TODAY(),EB.UJAustritt=""),P56,P56+Q55)),"")</f>
        <v>0</v>
      </c>
      <c r="R56" s="247">
        <f ca="1">IF(EB.Anwendung&lt;&gt;"",IF(DAY(R$10)=1,IF(MONTH(Monat.Tag1)=1,ROUND(EB.ÜVMMS*1440,0)/1440,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R$10&gt;TODAY(),EB.UJAustritt=""),0,R55),
IF(AND(R$10&gt;TODAY(),EB.UJAustritt=""),Q56,Q56+R55)),"")</f>
        <v>0</v>
      </c>
      <c r="S56" s="247">
        <f ca="1">IF(EB.Anwendung&lt;&gt;"",IF(DAY(S$10)=1,IF(MONTH(Monat.Tag1)=1,ROUND(EB.ÜVMMS*1440,0)/1440,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S$10&gt;TODAY(),EB.UJAustritt=""),0,S55),
IF(AND(S$10&gt;TODAY(),EB.UJAustritt=""),R56,R56+S55)),"")</f>
        <v>0</v>
      </c>
      <c r="T56" s="247">
        <f ca="1">IF(EB.Anwendung&lt;&gt;"",IF(DAY(T$10)=1,IF(MONTH(Monat.Tag1)=1,ROUND(EB.ÜVMMS*1440,0)/1440,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T$10&gt;TODAY(),EB.UJAustritt=""),0,T55),
IF(AND(T$10&gt;TODAY(),EB.UJAustritt=""),S56,S56+T55)),"")</f>
        <v>0</v>
      </c>
      <c r="U56" s="247">
        <f ca="1">IF(EB.Anwendung&lt;&gt;"",IF(DAY(U$10)=1,IF(MONTH(Monat.Tag1)=1,ROUND(EB.ÜVMMS*1440,0)/1440,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U$10&gt;TODAY(),EB.UJAustritt=""),0,U55),
IF(AND(U$10&gt;TODAY(),EB.UJAustritt=""),T56,T56+U55)),"")</f>
        <v>0</v>
      </c>
      <c r="V56" s="247">
        <f ca="1">IF(EB.Anwendung&lt;&gt;"",IF(DAY(V$10)=1,IF(MONTH(Monat.Tag1)=1,ROUND(EB.ÜVMMS*1440,0)/1440,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V$10&gt;TODAY(),EB.UJAustritt=""),0,V55),
IF(AND(V$10&gt;TODAY(),EB.UJAustritt=""),U56,U56+V55)),"")</f>
        <v>0</v>
      </c>
      <c r="W56" s="247">
        <f ca="1">IF(EB.Anwendung&lt;&gt;"",IF(DAY(W$10)=1,IF(MONTH(Monat.Tag1)=1,ROUND(EB.ÜVMMS*1440,0)/1440,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W$10&gt;TODAY(),EB.UJAustritt=""),0,W55),
IF(AND(W$10&gt;TODAY(),EB.UJAustritt=""),V56,V56+W55)),"")</f>
        <v>0</v>
      </c>
      <c r="X56" s="247">
        <f ca="1">IF(EB.Anwendung&lt;&gt;"",IF(DAY(X$10)=1,IF(MONTH(Monat.Tag1)=1,ROUND(EB.ÜVMMS*1440,0)/1440,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X$10&gt;TODAY(),EB.UJAustritt=""),0,X55),
IF(AND(X$10&gt;TODAY(),EB.UJAustritt=""),W56,W56+X55)),"")</f>
        <v>0</v>
      </c>
      <c r="Y56" s="247">
        <f ca="1">IF(EB.Anwendung&lt;&gt;"",IF(DAY(Y$10)=1,IF(MONTH(Monat.Tag1)=1,ROUND(EB.ÜVMMS*1440,0)/1440,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Y$10&gt;TODAY(),EB.UJAustritt=""),0,Y55),
IF(AND(Y$10&gt;TODAY(),EB.UJAustritt=""),X56,X56+Y55)),"")</f>
        <v>0</v>
      </c>
      <c r="Z56" s="247">
        <f ca="1">IF(EB.Anwendung&lt;&gt;"",IF(DAY(Z$10)=1,IF(MONTH(Monat.Tag1)=1,ROUND(EB.ÜVMMS*1440,0)/1440,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Z$10&gt;TODAY(),EB.UJAustritt=""),0,Z55),
IF(AND(Z$10&gt;TODAY(),EB.UJAustritt=""),Y56,Y56+Z55)),"")</f>
        <v>0</v>
      </c>
      <c r="AA56" s="247">
        <f ca="1">IF(EB.Anwendung&lt;&gt;"",IF(DAY(AA$10)=1,IF(MONTH(Monat.Tag1)=1,ROUND(EB.ÜVMMS*1440,0)/1440,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A$10&gt;TODAY(),EB.UJAustritt=""),0,AA55),
IF(AND(AA$10&gt;TODAY(),EB.UJAustritt=""),Z56,Z56+AA55)),"")</f>
        <v>0</v>
      </c>
      <c r="AB56" s="247">
        <f ca="1">IF(EB.Anwendung&lt;&gt;"",IF(DAY(AB$10)=1,IF(MONTH(Monat.Tag1)=1,ROUND(EB.ÜVMMS*1440,0)/1440,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B$10&gt;TODAY(),EB.UJAustritt=""),0,AB55),
IF(AND(AB$10&gt;TODAY(),EB.UJAustritt=""),AA56,AA56+AB55)),"")</f>
        <v>0</v>
      </c>
      <c r="AC56" s="247">
        <f ca="1">IF(EB.Anwendung&lt;&gt;"",IF(DAY(AC$10)=1,IF(MONTH(Monat.Tag1)=1,ROUND(EB.ÜVMMS*1440,0)/1440,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C$10&gt;TODAY(),EB.UJAustritt=""),0,AC55),
IF(AND(AC$10&gt;TODAY(),EB.UJAustritt=""),AB56,AB56+AC55)),"")</f>
        <v>0</v>
      </c>
      <c r="AD56" s="247">
        <f ca="1">IF(EB.Anwendung&lt;&gt;"",IF(DAY(AD$10)=1,IF(MONTH(Monat.Tag1)=1,ROUND(EB.ÜVMMS*1440,0)/1440,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D$10&gt;TODAY(),EB.UJAustritt=""),0,AD55),
IF(AND(AD$10&gt;TODAY(),EB.UJAustritt=""),AC56,AC56+AD55)),"")</f>
        <v>0</v>
      </c>
      <c r="AE56" s="205" t="str">
        <f t="shared" si="14"/>
        <v>current extra/minus hours</v>
      </c>
      <c r="AF56" s="218"/>
      <c r="AG56" s="238">
        <f ca="1">OFFSET(B56,0,DAY(EOMONTH(Monat.Tag1,0))-1,1,1)</f>
        <v>0</v>
      </c>
      <c r="AH56" s="214"/>
      <c r="AI56" s="209"/>
      <c r="AJ56" s="209"/>
      <c r="AK56" s="209"/>
      <c r="AL56" s="208"/>
      <c r="AM56" s="209"/>
      <c r="AN56" s="209"/>
      <c r="AO56" s="119"/>
    </row>
    <row r="57" spans="1:41" s="42" customFormat="1" ht="15" customHeight="1" outlineLevel="1" x14ac:dyDescent="0.2">
      <c r="A57" s="248"/>
      <c r="B57" s="249"/>
      <c r="C57" s="249"/>
      <c r="D57" s="249"/>
      <c r="E57" s="191"/>
      <c r="F57" s="249"/>
      <c r="G57" s="249"/>
      <c r="H57" s="250"/>
      <c r="I57" s="249"/>
      <c r="J57" s="251"/>
      <c r="K57" s="249"/>
      <c r="L57" s="252"/>
      <c r="M57" s="249"/>
      <c r="N57" s="249"/>
      <c r="O57" s="250"/>
      <c r="P57" s="249"/>
      <c r="Q57" s="191"/>
      <c r="R57" s="249"/>
      <c r="S57" s="252"/>
      <c r="T57" s="249"/>
      <c r="U57" s="249"/>
      <c r="V57" s="250"/>
      <c r="W57" s="249"/>
      <c r="X57" s="253"/>
      <c r="Y57" s="249"/>
      <c r="Z57" s="191"/>
      <c r="AA57" s="249"/>
      <c r="AB57" s="249"/>
      <c r="AC57" s="250"/>
      <c r="AD57" s="249"/>
      <c r="AE57" s="212" t="s">
        <v>117</v>
      </c>
      <c r="AF57" s="43" t="s">
        <v>2</v>
      </c>
      <c r="AG57" s="73"/>
      <c r="AH57" s="255"/>
      <c r="AI57" s="256"/>
      <c r="AJ57" s="209"/>
      <c r="AK57" s="209"/>
      <c r="AL57" s="208"/>
      <c r="AM57" s="257"/>
      <c r="AN57" s="257"/>
      <c r="AO57" s="163"/>
    </row>
    <row r="58" spans="1:41" s="44" customFormat="1" ht="15" customHeight="1" x14ac:dyDescent="0.2">
      <c r="A58" s="258"/>
      <c r="B58" s="252"/>
      <c r="C58" s="252"/>
      <c r="D58" s="252"/>
      <c r="E58" s="191"/>
      <c r="F58" s="252"/>
      <c r="G58" s="252"/>
      <c r="H58" s="252"/>
      <c r="I58" s="252"/>
      <c r="J58" s="191"/>
      <c r="K58" s="252"/>
      <c r="L58" s="252"/>
      <c r="M58" s="252"/>
      <c r="N58" s="252"/>
      <c r="O58" s="252"/>
      <c r="P58" s="252"/>
      <c r="Q58" s="191"/>
      <c r="R58" s="252"/>
      <c r="S58" s="252"/>
      <c r="T58" s="252"/>
      <c r="U58" s="252"/>
      <c r="V58" s="252"/>
      <c r="W58" s="252"/>
      <c r="X58" s="253"/>
      <c r="Y58" s="252"/>
      <c r="Z58" s="191"/>
      <c r="AA58" s="252"/>
      <c r="AB58" s="252"/>
      <c r="AC58" s="252"/>
      <c r="AD58" s="252"/>
      <c r="AE58" s="260" t="s">
        <v>78</v>
      </c>
      <c r="AF58" s="218"/>
      <c r="AG58" s="238">
        <f ca="1">IF(AF57="+",(Monat.ZUeZ.Total+AG57),(Monat.ZUeZ.Total-AG57))</f>
        <v>0</v>
      </c>
      <c r="AH58" s="261"/>
      <c r="AI58" s="262"/>
      <c r="AJ58" s="245">
        <f ca="1">IF(EB.Anwendung&lt;&gt;"",IF(MONTH(Monat.Tag1)=1,EB.MMS,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f>
        <v>0</v>
      </c>
      <c r="AK58" s="209"/>
      <c r="AL58" s="246">
        <f ca="1">AG58</f>
        <v>0</v>
      </c>
      <c r="AM58" s="209"/>
      <c r="AN58" s="209"/>
      <c r="AO58" s="131"/>
    </row>
    <row r="59" spans="1:41" s="38" customFormat="1" ht="11.25" customHeight="1" x14ac:dyDescent="0.2">
      <c r="A59" s="220"/>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05"/>
      <c r="AF59" s="188"/>
      <c r="AG59" s="213"/>
      <c r="AH59" s="214"/>
      <c r="AI59" s="209"/>
      <c r="AJ59" s="209"/>
      <c r="AK59" s="209"/>
      <c r="AL59" s="208"/>
      <c r="AM59" s="209"/>
      <c r="AN59" s="209"/>
      <c r="AO59" s="119"/>
    </row>
    <row r="60" spans="1:41" s="38" customFormat="1" ht="15" customHeight="1" x14ac:dyDescent="0.2">
      <c r="A60" s="212" t="s">
        <v>217</v>
      </c>
      <c r="B60" s="263" t="str">
        <f ca="1">IF(EB.Wochenarbeitszeit=50/24,IF(T.50_Vetsuisse,IF(WEEKDAY(B$10,2)=7,MAX(0,SUM(OFFSET(B51,0,-MIN(6,DAY(B$10)-1),1,MIN(7,DAY(B$10))))+IF(AND(MONTH(Monat.Tag1)&lt;&gt;1,DAY(B$10)&lt;7),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-1/24*50),""),""),IF(B45=0,"",B45))</f>
        <v/>
      </c>
      <c r="C60" s="263" t="str">
        <f ca="1">IF(EB.Wochenarbeitszeit=50/24,IF(T.50_Vetsuisse,IF(WEEKDAY(C$10,2)=7,MAX(0,SUM(OFFSET(C51,0,-MIN(6,DAY(C$10)-1),1,MIN(7,DAY(C$10))))+IF(AND(MONTH(Monat.Tag1)&lt;&gt;1,DAY(C$10)&lt;7),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-1/24*50),""),""),IF(C45=0,"",C45))</f>
        <v/>
      </c>
      <c r="D60" s="263" t="str">
        <f ca="1">IF(EB.Wochenarbeitszeit=50/24,IF(T.50_Vetsuisse,IF(WEEKDAY(D$10,2)=7,MAX(0,SUM(OFFSET(D51,0,-MIN(6,DAY(D$10)-1),1,MIN(7,DAY(D$10))))+IF(AND(MONTH(Monat.Tag1)&lt;&gt;1,DAY(D$10)&lt;7),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-1/24*50),""),""),IF(D45=0,"",D45))</f>
        <v/>
      </c>
      <c r="E60" s="264" t="str">
        <f ca="1">IF(EB.Wochenarbeitszeit=50/24,IF(T.50_Vetsuisse,IF(WEEKDAY(E$10,2)=7,MAX(0,SUM(OFFSET(E51,0,-MIN(6,DAY(E$10)-1),1,MIN(7,DAY(E$10))))+IF(AND(MONTH(Monat.Tag1)&lt;&gt;1,DAY(E$10)&lt;7),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-1/24*50),""),""),IF(E45=0,"",E45))</f>
        <v/>
      </c>
      <c r="F60" s="263" t="str">
        <f ca="1">IF(EB.Wochenarbeitszeit=50/24,IF(T.50_Vetsuisse,IF(WEEKDAY(F$10,2)=7,MAX(0,SUM(OFFSET(F51,0,-MIN(6,DAY(F$10)-1),1,MIN(7,DAY(F$10))))+IF(AND(MONTH(Monat.Tag1)&lt;&gt;1,DAY(F$10)&lt;7),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-1/24*50),""),""),IF(F45=0,"",F45))</f>
        <v/>
      </c>
      <c r="G60" s="263" t="str">
        <f ca="1">IF(EB.Wochenarbeitszeit=50/24,IF(T.50_Vetsuisse,IF(WEEKDAY(G$10,2)=7,MAX(0,SUM(OFFSET(G51,0,-MIN(6,DAY(G$10)-1),1,MIN(7,DAY(G$10))))+IF(AND(MONTH(Monat.Tag1)&lt;&gt;1,DAY(G$10)&lt;7),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-1/24*50),""),""),IF(G45=0,"",G45))</f>
        <v/>
      </c>
      <c r="H60" s="263" t="str">
        <f ca="1">IF(EB.Wochenarbeitszeit=50/24,IF(T.50_Vetsuisse,IF(WEEKDAY(H$10,2)=7,MAX(0,SUM(OFFSET(H51,0,-MIN(6,DAY(H$10)-1),1,MIN(7,DAY(H$10))))+IF(AND(MONTH(Monat.Tag1)&lt;&gt;1,DAY(H$10)&lt;7),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-1/24*50),""),""),IF(H45=0,"",H45))</f>
        <v/>
      </c>
      <c r="I60" s="263" t="str">
        <f ca="1">IF(EB.Wochenarbeitszeit=50/24,IF(T.50_Vetsuisse,IF(WEEKDAY(I$10,2)=7,MAX(0,SUM(OFFSET(I51,0,-MIN(6,DAY(I$10)-1),1,MIN(7,DAY(I$10))))+IF(AND(MONTH(Monat.Tag1)&lt;&gt;1,DAY(I$10)&lt;7),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-1/24*50),""),""),IF(I45=0,"",I45))</f>
        <v/>
      </c>
      <c r="J60" s="264" t="str">
        <f ca="1">IF(EB.Wochenarbeitszeit=50/24,IF(T.50_Vetsuisse,IF(WEEKDAY(J$10,2)=7,MAX(0,SUM(OFFSET(J51,0,-MIN(6,DAY(J$10)-1),1,MIN(7,DAY(J$10))))+IF(AND(MONTH(Monat.Tag1)&lt;&gt;1,DAY(J$10)&lt;7),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-1/24*50),""),""),IF(J45=0,"",J45))</f>
        <v/>
      </c>
      <c r="K60" s="263" t="str">
        <f ca="1">IF(EB.Wochenarbeitszeit=50/24,IF(T.50_Vetsuisse,IF(WEEKDAY(K$10,2)=7,MAX(0,SUM(OFFSET(K51,0,-MIN(6,DAY(K$10)-1),1,MIN(7,DAY(K$10))))+IF(AND(MONTH(Monat.Tag1)&lt;&gt;1,DAY(K$10)&lt;7),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-1/24*50),""),""),IF(K45=0,"",K45))</f>
        <v/>
      </c>
      <c r="L60" s="264" t="str">
        <f ca="1">IF(EB.Wochenarbeitszeit=50/24,IF(T.50_Vetsuisse,IF(WEEKDAY(L$10,2)=7,MAX(0,SUM(OFFSET(L51,0,-MIN(6,DAY(L$10)-1),1,MIN(7,DAY(L$10))))+IF(AND(MONTH(Monat.Tag1)&lt;&gt;1,DAY(L$10)&lt;7),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-1/24*50),""),""),IF(L45=0,"",L45))</f>
        <v/>
      </c>
      <c r="M60" s="263" t="str">
        <f ca="1">IF(EB.Wochenarbeitszeit=50/24,IF(T.50_Vetsuisse,IF(WEEKDAY(M$10,2)=7,MAX(0,SUM(OFFSET(M51,0,-MIN(6,DAY(M$10)-1),1,MIN(7,DAY(M$10))))+IF(AND(MONTH(Monat.Tag1)&lt;&gt;1,DAY(M$10)&lt;7),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-1/24*50),""),""),IF(M45=0,"",M45))</f>
        <v/>
      </c>
      <c r="N60" s="263" t="str">
        <f ca="1">IF(EB.Wochenarbeitszeit=50/24,IF(T.50_Vetsuisse,IF(WEEKDAY(N$10,2)=7,MAX(0,SUM(OFFSET(N51,0,-MIN(6,DAY(N$10)-1),1,MIN(7,DAY(N$10))))+IF(AND(MONTH(Monat.Tag1)&lt;&gt;1,DAY(N$10)&lt;7),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-1/24*50),""),""),IF(N45=0,"",N45))</f>
        <v/>
      </c>
      <c r="O60" s="263" t="str">
        <f ca="1">IF(EB.Wochenarbeitszeit=50/24,IF(T.50_Vetsuisse,IF(WEEKDAY(O$10,2)=7,MAX(0,SUM(OFFSET(O51,0,-MIN(6,DAY(O$10)-1),1,MIN(7,DAY(O$10))))+IF(AND(MONTH(Monat.Tag1)&lt;&gt;1,DAY(O$10)&lt;7),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-1/24*50),""),""),IF(O45=0,"",O45))</f>
        <v/>
      </c>
      <c r="P60" s="263" t="str">
        <f ca="1">IF(EB.Wochenarbeitszeit=50/24,IF(T.50_Vetsuisse,IF(WEEKDAY(P$10,2)=7,MAX(0,SUM(OFFSET(P51,0,-MIN(6,DAY(P$10)-1),1,MIN(7,DAY(P$10))))+IF(AND(MONTH(Monat.Tag1)&lt;&gt;1,DAY(P$10)&lt;7),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-1/24*50),""),""),IF(P45=0,"",P45))</f>
        <v/>
      </c>
      <c r="Q60" s="264" t="str">
        <f ca="1">IF(EB.Wochenarbeitszeit=50/24,IF(T.50_Vetsuisse,IF(WEEKDAY(Q$10,2)=7,MAX(0,SUM(OFFSET(Q51,0,-MIN(6,DAY(Q$10)-1),1,MIN(7,DAY(Q$10))))+IF(AND(MONTH(Monat.Tag1)&lt;&gt;1,DAY(Q$10)&lt;7),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-1/24*50),""),""),IF(Q45=0,"",Q45))</f>
        <v/>
      </c>
      <c r="R60" s="263" t="str">
        <f ca="1">IF(EB.Wochenarbeitszeit=50/24,IF(T.50_Vetsuisse,IF(WEEKDAY(R$10,2)=7,MAX(0,SUM(OFFSET(R51,0,-MIN(6,DAY(R$10)-1),1,MIN(7,DAY(R$10))))+IF(AND(MONTH(Monat.Tag1)&lt;&gt;1,DAY(R$10)&lt;7),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-1/24*50),""),""),IF(R45=0,"",R45))</f>
        <v/>
      </c>
      <c r="S60" s="264" t="str">
        <f ca="1">IF(EB.Wochenarbeitszeit=50/24,IF(T.50_Vetsuisse,IF(WEEKDAY(S$10,2)=7,MAX(0,SUM(OFFSET(S51,0,-MIN(6,DAY(S$10)-1),1,MIN(7,DAY(S$10))))+IF(AND(MONTH(Monat.Tag1)&lt;&gt;1,DAY(S$10)&lt;7),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-1/24*50),""),""),IF(S45=0,"",S45))</f>
        <v/>
      </c>
      <c r="T60" s="264" t="str">
        <f ca="1">IF(EB.Wochenarbeitszeit=50/24,IF(T.50_Vetsuisse,IF(WEEKDAY(T$10,2)=7,MAX(0,SUM(OFFSET(T51,0,-MIN(6,DAY(T$10)-1),1,MIN(7,DAY(T$10))))+IF(AND(MONTH(Monat.Tag1)&lt;&gt;1,DAY(T$10)&lt;7),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-1/24*50),""),""),IF(T45=0,"",T45))</f>
        <v/>
      </c>
      <c r="U60" s="263" t="str">
        <f ca="1">IF(EB.Wochenarbeitszeit=50/24,IF(T.50_Vetsuisse,IF(WEEKDAY(U$10,2)=7,MAX(0,SUM(OFFSET(U51,0,-MIN(6,DAY(U$10)-1),1,MIN(7,DAY(U$10))))+IF(AND(MONTH(Monat.Tag1)&lt;&gt;1,DAY(U$10)&lt;7),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-1/24*50),""),""),IF(U45=0,"",U45))</f>
        <v/>
      </c>
      <c r="V60" s="263" t="str">
        <f ca="1">IF(EB.Wochenarbeitszeit=50/24,IF(T.50_Vetsuisse,IF(WEEKDAY(V$10,2)=7,MAX(0,SUM(OFFSET(V51,0,-MIN(6,DAY(V$10)-1),1,MIN(7,DAY(V$10))))+IF(AND(MONTH(Monat.Tag1)&lt;&gt;1,DAY(V$10)&lt;7),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-1/24*50),""),""),IF(V45=0,"",V45))</f>
        <v/>
      </c>
      <c r="W60" s="263" t="str">
        <f ca="1">IF(EB.Wochenarbeitszeit=50/24,IF(T.50_Vetsuisse,IF(WEEKDAY(W$10,2)=7,MAX(0,SUM(OFFSET(W51,0,-MIN(6,DAY(W$10)-1),1,MIN(7,DAY(W$10))))+IF(AND(MONTH(Monat.Tag1)&lt;&gt;1,DAY(W$10)&lt;7),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-1/24*50),""),""),IF(W45=0,"",W45))</f>
        <v/>
      </c>
      <c r="X60" s="264" t="str">
        <f ca="1">IF(EB.Wochenarbeitszeit=50/24,IF(T.50_Vetsuisse,IF(WEEKDAY(X$10,2)=7,MAX(0,SUM(OFFSET(X51,0,-MIN(6,DAY(X$10)-1),1,MIN(7,DAY(X$10))))+IF(AND(MONTH(Monat.Tag1)&lt;&gt;1,DAY(X$10)&lt;7),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-1/24*50),""),""),IF(X45=0,"",X45))</f>
        <v/>
      </c>
      <c r="Y60" s="263" t="str">
        <f ca="1">IF(EB.Wochenarbeitszeit=50/24,IF(T.50_Vetsuisse,IF(WEEKDAY(Y$10,2)=7,MAX(0,SUM(OFFSET(Y51,0,-MIN(6,DAY(Y$10)-1),1,MIN(7,DAY(Y$10))))+IF(AND(MONTH(Monat.Tag1)&lt;&gt;1,DAY(Y$10)&lt;7),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-1/24*50),""),""),IF(Y45=0,"",Y45))</f>
        <v/>
      </c>
      <c r="Z60" s="265" t="str">
        <f ca="1">IF(EB.Wochenarbeitszeit=50/24,IF(T.50_Vetsuisse,IF(WEEKDAY(Z$10,2)=7,MAX(0,SUM(OFFSET(Z51,0,-MIN(6,DAY(Z$10)-1),1,MIN(7,DAY(Z$10))))+IF(AND(MONTH(Monat.Tag1)&lt;&gt;1,DAY(Z$10)&lt;7),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-1/24*50),""),""),IF(Z45=0,"",Z45))</f>
        <v/>
      </c>
      <c r="AA60" s="263" t="str">
        <f ca="1">IF(EB.Wochenarbeitszeit=50/24,IF(T.50_Vetsuisse,IF(WEEKDAY(AA$10,2)=7,MAX(0,SUM(OFFSET(AA51,0,-MIN(6,DAY(AA$10)-1),1,MIN(7,DAY(AA$10))))+IF(AND(MONTH(Monat.Tag1)&lt;&gt;1,DAY(AA$10)&lt;7),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-1/24*50),""),""),IF(AA45=0,"",AA45))</f>
        <v/>
      </c>
      <c r="AB60" s="263" t="str">
        <f ca="1">IF(EB.Wochenarbeitszeit=50/24,IF(T.50_Vetsuisse,IF(WEEKDAY(AB$10,2)=7,MAX(0,SUM(OFFSET(AB51,0,-MIN(6,DAY(AB$10)-1),1,MIN(7,DAY(AB$10))))+IF(AND(MONTH(Monat.Tag1)&lt;&gt;1,DAY(AB$10)&lt;7),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-1/24*50),""),""),IF(AB45=0,"",AB45))</f>
        <v/>
      </c>
      <c r="AC60" s="263" t="str">
        <f ca="1">IF(EB.Wochenarbeitszeit=50/24,IF(T.50_Vetsuisse,IF(WEEKDAY(AC$10,2)=7,MAX(0,SUM(OFFSET(AC51,0,-MIN(6,DAY(AC$10)-1),1,MIN(7,DAY(AC$10))))+IF(AND(MONTH(Monat.Tag1)&lt;&gt;1,DAY(AC$10)&lt;7),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-1/24*50),""),""),IF(AC45=0,"",AC45))</f>
        <v/>
      </c>
      <c r="AD60" s="263" t="str">
        <f ca="1">IF(EB.Wochenarbeitszeit=50/24,IF(T.50_Vetsuisse,IF(WEEKDAY(AD$10,2)=7,MAX(0,SUM(OFFSET(AD51,0,-MIN(6,DAY(AD$10)-1),1,MIN(7,DAY(AD$10))))+IF(AND(MONTH(Monat.Tag1)&lt;&gt;1,DAY(AD$10)&lt;7),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-1/24*50),""),""),IF(AD45=0,"",AD45))</f>
        <v/>
      </c>
      <c r="AE60" s="205" t="str">
        <f>A60</f>
        <v>Ordered overtime</v>
      </c>
      <c r="AF60" s="218"/>
      <c r="AG60" s="238">
        <f ca="1">SUM(B60:AD60)</f>
        <v>0</v>
      </c>
      <c r="AH60" s="214"/>
      <c r="AI60" s="209"/>
      <c r="AJ60" s="245">
        <f ca="1">IF(EB.Anwendung&lt;&gt;"",IF(MONTH(Monat.Tag1)=1,0,IF(MONTH(Monat.Tag1)=2,January!Monat.AnUeZUeVM,IF(MONTH(Monat.Tag1)=3,February!Monat.AnUeZUeVM,IF(MONTH(Monat.Tag1)=4,March!Monat.AnUeZUeVM,IF(MONTH(Monat.Tag1)=5,April!Monat.AnUeZUeVM,IF(MONTH(Monat.Tag1)=6,May!Monat.AnUeZUeVM,IF(MONTH(Monat.Tag1)=7,June!Monat.AnUeZUeVM,IF(MONTH(Monat.Tag1)=8,July!Monat.AnUeZUeVM,IF(MONTH(Monat.Tag1)=9,August!Monat.AnUeZUeVM,IF(MONTH(Monat.Tag1)=10,September!Monat.AnUeZUeVM,IF(MONTH(Monat.Tag1)=11,October!Monat.AnUeZUeVM,IF(MONTH(Monat.Tag1)=12,November!Monat.AnUeZUeVM,"")))))))))))),"")</f>
        <v>0</v>
      </c>
      <c r="AK60" s="209"/>
      <c r="AL60" s="246">
        <f ca="1">AG60+AJ60</f>
        <v>0</v>
      </c>
      <c r="AM60" s="246">
        <f ca="1">SUM(OFFSET(Jahr.AngÜZ,-12,0,MONTH(Monat.Tag1),1))</f>
        <v>0</v>
      </c>
      <c r="AN60" s="246">
        <f ca="1">Jahr.AngÜZ</f>
        <v>0</v>
      </c>
      <c r="AO60" s="119"/>
    </row>
    <row r="61" spans="1:41" s="38" customFormat="1" ht="15" customHeight="1" x14ac:dyDescent="0.2">
      <c r="A61" s="212" t="s">
        <v>218</v>
      </c>
      <c r="B61" s="27"/>
      <c r="C61" s="27"/>
      <c r="D61" s="27"/>
      <c r="E61" s="27"/>
      <c r="F61" s="27"/>
      <c r="G61" s="27"/>
      <c r="H61" s="27"/>
      <c r="I61" s="27"/>
      <c r="J61" s="27"/>
      <c r="K61" s="27"/>
      <c r="L61" s="27"/>
      <c r="M61" s="27"/>
      <c r="N61" s="27"/>
      <c r="O61" s="27"/>
      <c r="P61" s="27"/>
      <c r="Q61" s="27"/>
      <c r="R61" s="27"/>
      <c r="S61" s="27"/>
      <c r="T61" s="27"/>
      <c r="U61" s="27"/>
      <c r="V61" s="27"/>
      <c r="W61" s="27"/>
      <c r="X61" s="27"/>
      <c r="Y61" s="27"/>
      <c r="Z61" s="39"/>
      <c r="AA61" s="27"/>
      <c r="AB61" s="27"/>
      <c r="AC61" s="27"/>
      <c r="AD61" s="27"/>
      <c r="AE61" s="205" t="str">
        <f>A61</f>
        <v>Compensation overtime</v>
      </c>
      <c r="AF61" s="218"/>
      <c r="AG61" s="238">
        <f>SUM(B61:AD61)</f>
        <v>0</v>
      </c>
      <c r="AH61" s="214"/>
      <c r="AI61" s="209"/>
      <c r="AJ61" s="209"/>
      <c r="AK61" s="209"/>
      <c r="AL61" s="208"/>
      <c r="AM61" s="209"/>
      <c r="AN61" s="209"/>
      <c r="AO61" s="119"/>
    </row>
    <row r="62" spans="1:41" s="42" customFormat="1" ht="15" hidden="1" customHeight="1" outlineLevel="1" x14ac:dyDescent="0.2">
      <c r="A62" s="248"/>
      <c r="B62" s="253"/>
      <c r="C62" s="253"/>
      <c r="D62" s="253"/>
      <c r="E62" s="191"/>
      <c r="F62" s="253"/>
      <c r="G62" s="253"/>
      <c r="H62" s="253"/>
      <c r="I62" s="253"/>
      <c r="J62" s="251"/>
      <c r="K62" s="253"/>
      <c r="L62" s="252"/>
      <c r="M62" s="253"/>
      <c r="N62" s="253"/>
      <c r="O62" s="253"/>
      <c r="P62" s="253"/>
      <c r="Q62" s="191"/>
      <c r="R62" s="253"/>
      <c r="S62" s="252"/>
      <c r="T62" s="253"/>
      <c r="U62" s="253"/>
      <c r="V62" s="253"/>
      <c r="W62" s="253"/>
      <c r="X62" s="253"/>
      <c r="Y62" s="253"/>
      <c r="Z62" s="191"/>
      <c r="AA62" s="253"/>
      <c r="AB62" s="253"/>
      <c r="AC62" s="253"/>
      <c r="AD62" s="253"/>
      <c r="AE62" s="267" t="s">
        <v>118</v>
      </c>
      <c r="AF62" s="268"/>
      <c r="AG62" s="238">
        <f ca="1">Monat.AnUeZ.Total-Monat.KomUeZ.Total</f>
        <v>0</v>
      </c>
      <c r="AH62" s="214"/>
      <c r="AI62" s="257"/>
      <c r="AJ62" s="257"/>
      <c r="AK62" s="209"/>
      <c r="AL62" s="257"/>
      <c r="AM62" s="257"/>
      <c r="AN62" s="257"/>
      <c r="AO62" s="163"/>
    </row>
    <row r="63" spans="1:41" s="38" customFormat="1" ht="15" customHeight="1" collapsed="1" x14ac:dyDescent="0.2">
      <c r="A63" s="220"/>
      <c r="B63" s="191"/>
      <c r="C63" s="191"/>
      <c r="D63" s="191"/>
      <c r="E63" s="191"/>
      <c r="F63" s="191"/>
      <c r="G63" s="191"/>
      <c r="H63" s="191"/>
      <c r="I63" s="191"/>
      <c r="J63" s="191"/>
      <c r="K63" s="191"/>
      <c r="L63" s="252"/>
      <c r="M63" s="191"/>
      <c r="N63" s="191"/>
      <c r="O63" s="191"/>
      <c r="P63" s="191"/>
      <c r="Q63" s="191"/>
      <c r="R63" s="191"/>
      <c r="S63" s="252"/>
      <c r="T63" s="191"/>
      <c r="U63" s="191"/>
      <c r="V63" s="191"/>
      <c r="W63" s="191"/>
      <c r="X63" s="253"/>
      <c r="Y63" s="191"/>
      <c r="Z63" s="191"/>
      <c r="AA63" s="191"/>
      <c r="AB63" s="191"/>
      <c r="AC63" s="191"/>
      <c r="AD63" s="191"/>
      <c r="AE63" s="212" t="s">
        <v>215</v>
      </c>
      <c r="AF63" s="218"/>
      <c r="AG63" s="238">
        <f ca="1">IF(T.50_Vetsuisse,0,IF(AND(AG62&gt;0,Monat.ÜZZSBerechtigt=INDEX(T.JaNein.Bereich,1,1)),ROUND(AG62*0.25*1440,0)/1440,0))</f>
        <v>0</v>
      </c>
      <c r="AH63" s="214"/>
      <c r="AI63" s="209"/>
      <c r="AJ63" s="257"/>
      <c r="AK63" s="209"/>
      <c r="AL63" s="257"/>
      <c r="AM63" s="257"/>
      <c r="AN63" s="257"/>
      <c r="AO63" s="119"/>
    </row>
    <row r="64" spans="1:41" s="38" customFormat="1" ht="15" hidden="1" customHeight="1" outlineLevel="1" x14ac:dyDescent="0.2">
      <c r="A64" s="220"/>
      <c r="B64" s="191"/>
      <c r="C64" s="191"/>
      <c r="D64" s="191"/>
      <c r="E64" s="191"/>
      <c r="F64" s="191"/>
      <c r="G64" s="191"/>
      <c r="H64" s="191"/>
      <c r="I64" s="191"/>
      <c r="J64" s="191"/>
      <c r="K64" s="191"/>
      <c r="L64" s="252"/>
      <c r="M64" s="191"/>
      <c r="N64" s="191"/>
      <c r="O64" s="191"/>
      <c r="P64" s="191"/>
      <c r="Q64" s="191"/>
      <c r="R64" s="191"/>
      <c r="S64" s="252"/>
      <c r="T64" s="191"/>
      <c r="U64" s="191"/>
      <c r="V64" s="191"/>
      <c r="W64" s="191"/>
      <c r="X64" s="253"/>
      <c r="Y64" s="191"/>
      <c r="Z64" s="191"/>
      <c r="AA64" s="191"/>
      <c r="AB64" s="191"/>
      <c r="AC64" s="191"/>
      <c r="AD64" s="191"/>
      <c r="AE64" s="212" t="s">
        <v>119</v>
      </c>
      <c r="AF64" s="45" t="s">
        <v>2</v>
      </c>
      <c r="AG64" s="46"/>
      <c r="AH64" s="270"/>
      <c r="AI64" s="209"/>
      <c r="AJ64" s="257"/>
      <c r="AK64" s="209"/>
      <c r="AL64" s="257"/>
      <c r="AM64" s="257"/>
      <c r="AN64" s="257"/>
      <c r="AO64" s="119"/>
    </row>
    <row r="65" spans="1:41" s="42" customFormat="1" ht="15" customHeight="1" collapsed="1" x14ac:dyDescent="0.2">
      <c r="A65" s="248"/>
      <c r="B65" s="253"/>
      <c r="C65" s="253"/>
      <c r="D65" s="253"/>
      <c r="E65" s="191"/>
      <c r="F65" s="253"/>
      <c r="G65" s="253"/>
      <c r="H65" s="253"/>
      <c r="I65" s="253"/>
      <c r="J65" s="191"/>
      <c r="K65" s="253"/>
      <c r="L65" s="252"/>
      <c r="M65" s="253"/>
      <c r="N65" s="253"/>
      <c r="O65" s="253"/>
      <c r="P65" s="253"/>
      <c r="Q65" s="191"/>
      <c r="R65" s="253"/>
      <c r="S65" s="252"/>
      <c r="T65" s="253"/>
      <c r="U65" s="253"/>
      <c r="V65" s="253"/>
      <c r="W65" s="253"/>
      <c r="X65" s="253"/>
      <c r="Y65" s="253"/>
      <c r="Z65" s="191"/>
      <c r="AA65" s="253"/>
      <c r="AB65" s="253"/>
      <c r="AC65" s="253"/>
      <c r="AD65" s="253"/>
      <c r="AE65" s="260" t="s">
        <v>219</v>
      </c>
      <c r="AF65" s="268"/>
      <c r="AG65" s="238">
        <f ca="1">IF(AF64="+",(AG62+AG63+AG64),(AG62+AG63-AG64))</f>
        <v>0</v>
      </c>
      <c r="AH65" s="261"/>
      <c r="AI65" s="271"/>
      <c r="AJ65" s="245">
        <f ca="1">IF(EB.Anwendung&lt;&gt;"",IF(MONTH(Monat.Tag1)=1,EB.UeZ,IF(MONTH(Monat.Tag1)=2,January!Monat.UeZUeVM,IF(MONTH(Monat.Tag1)=3,February!Monat.UeZUeVM,IF(MONTH(Monat.Tag1)=4,March!Monat.UeZUeVM,IF(MONTH(Monat.Tag1)=5,April!Monat.UeZUeVM,IF(MONTH(Monat.Tag1)=6,May!Monat.UeZUeVM,IF(MONTH(Monat.Tag1)=7,June!Monat.UeZUeVM,IF(MONTH(Monat.Tag1)=8,July!Monat.UeZUeVM,IF(MONTH(Monat.Tag1)=9,August!Monat.UeZUeVM,IF(MONTH(Monat.Tag1)=10,September!Monat.UeZUeVM,IF(MONTH(Monat.Tag1)=11,October!Monat.UeZUeVM,IF(MONTH(Monat.Tag1)=12,November!Monat.UeZUeVM,"")))))))))))),"")</f>
        <v>0</v>
      </c>
      <c r="AK65" s="209"/>
      <c r="AL65" s="246">
        <f ca="1">AG65+AJ65</f>
        <v>0</v>
      </c>
      <c r="AM65" s="246">
        <f ca="1">SUM(OFFSET(J.UeZ.Total,-12,0,MONTH(Monat.Tag1),1))</f>
        <v>0</v>
      </c>
      <c r="AN65" s="246">
        <f ca="1">J.UeZ.Total</f>
        <v>0</v>
      </c>
      <c r="AO65" s="163"/>
    </row>
    <row r="66" spans="1:41" s="38" customFormat="1" ht="11.25" customHeight="1" outlineLevel="1" x14ac:dyDescent="0.2">
      <c r="A66" s="220"/>
      <c r="B66" s="354">
        <f ca="1">IF(EB.Anwendung&lt;&gt;"",
IF(AND(B$10&gt;TODAY(),$W$7&gt;0,B52&lt;=0),0,
IF(AND(B$10&gt;TODAY(),$W$7&lt;=0,B53&lt;=0),0,
IF(B85&lt;=0,1,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f>
        <v>0</v>
      </c>
      <c r="C66" s="354">
        <f ca="1">IF(EB.Anwendung&lt;&gt;"",
IF(AND(C$10&gt;TODAY(),$W$7&gt;0,C52&lt;=0),0,
IF(AND(C$10&gt;TODAY(),$W$7&lt;=0,C53&lt;=0),0,
IF(C85&lt;=0,1,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f>
        <v>0</v>
      </c>
      <c r="D66" s="354">
        <f ca="1">IF(EB.Anwendung&lt;&gt;"",
IF(AND(D$10&gt;TODAY(),$W$7&gt;0,D52&lt;=0),0,
IF(AND(D$10&gt;TODAY(),$W$7&lt;=0,D53&lt;=0),0,
IF(D85&lt;=0,1,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f>
        <v>1</v>
      </c>
      <c r="E66" s="354">
        <f ca="1">IF(EB.Anwendung&lt;&gt;"",
IF(AND(E$10&gt;TODAY(),$W$7&gt;0,E52&lt;=0),0,
IF(AND(E$10&gt;TODAY(),$W$7&lt;=0,E53&lt;=0),0,
IF(E85&lt;=0,1,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f>
        <v>1</v>
      </c>
      <c r="F66" s="354">
        <f ca="1">IF(EB.Anwendung&lt;&gt;"",
IF(AND(F$10&gt;TODAY(),$W$7&gt;0,F52&lt;=0),0,
IF(AND(F$10&gt;TODAY(),$W$7&lt;=0,F53&lt;=0),0,
IF(F85&lt;=0,1,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f>
        <v>1</v>
      </c>
      <c r="G66" s="354">
        <f ca="1">IF(EB.Anwendung&lt;&gt;"",
IF(AND(G$10&gt;TODAY(),$W$7&gt;0,G52&lt;=0),0,
IF(AND(G$10&gt;TODAY(),$W$7&lt;=0,G53&lt;=0),0,
IF(G85&lt;=0,1,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f>
        <v>1</v>
      </c>
      <c r="H66" s="354">
        <f ca="1">IF(EB.Anwendung&lt;&gt;"",
IF(AND(H$10&gt;TODAY(),$W$7&gt;0,H52&lt;=0),0,
IF(AND(H$10&gt;TODAY(),$W$7&lt;=0,H53&lt;=0),0,
IF(H85&lt;=0,1,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f>
        <v>1</v>
      </c>
      <c r="I66" s="354">
        <f ca="1">IF(EB.Anwendung&lt;&gt;"",
IF(AND(I$10&gt;TODAY(),$W$7&gt;0,I52&lt;=0),0,
IF(AND(I$10&gt;TODAY(),$W$7&lt;=0,I53&lt;=0),0,
IF(I85&lt;=0,1,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f>
        <v>0</v>
      </c>
      <c r="J66" s="354">
        <f ca="1">IF(EB.Anwendung&lt;&gt;"",
IF(AND(J$10&gt;TODAY(),$W$7&gt;0,J52&lt;=0),0,
IF(AND(J$10&gt;TODAY(),$W$7&lt;=0,J53&lt;=0),0,
IF(J85&lt;=0,1,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f>
        <v>0</v>
      </c>
      <c r="K66" s="354">
        <f ca="1">IF(EB.Anwendung&lt;&gt;"",
IF(AND(K$10&gt;TODAY(),$W$7&gt;0,K52&lt;=0),0,
IF(AND(K$10&gt;TODAY(),$W$7&lt;=0,K53&lt;=0),0,
IF(K85&lt;=0,1,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f>
        <v>1</v>
      </c>
      <c r="L66" s="431">
        <f ca="1">IF(EB.Anwendung&lt;&gt;"",
IF(AND(L$10&gt;TODAY(),$W$7&gt;0,L52&lt;=0),0,
IF(AND(L$10&gt;TODAY(),$W$7&lt;=0,L53&lt;=0),0,
IF(L85&lt;=0,1,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f>
        <v>1</v>
      </c>
      <c r="M66" s="354">
        <f ca="1">IF(EB.Anwendung&lt;&gt;"",
IF(AND(M$10&gt;TODAY(),$W$7&gt;0,M52&lt;=0),0,
IF(AND(M$10&gt;TODAY(),$W$7&lt;=0,M53&lt;=0),0,
IF(M85&lt;=0,1,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f>
        <v>1</v>
      </c>
      <c r="N66" s="354">
        <f ca="1">IF(EB.Anwendung&lt;&gt;"",
IF(AND(N$10&gt;TODAY(),$W$7&gt;0,N52&lt;=0),0,
IF(AND(N$10&gt;TODAY(),$W$7&lt;=0,N53&lt;=0),0,
IF(N85&lt;=0,1,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f>
        <v>1</v>
      </c>
      <c r="O66" s="354">
        <f ca="1">IF(EB.Anwendung&lt;&gt;"",
IF(AND(O$10&gt;TODAY(),$W$7&gt;0,O52&lt;=0),0,
IF(AND(O$10&gt;TODAY(),$W$7&lt;=0,O53&lt;=0),0,
IF(O85&lt;=0,1,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f>
        <v>1</v>
      </c>
      <c r="P66" s="354">
        <f ca="1">IF(EB.Anwendung&lt;&gt;"",
IF(AND(P$10&gt;TODAY(),$W$7&gt;0,P52&lt;=0),0,
IF(AND(P$10&gt;TODAY(),$W$7&lt;=0,P53&lt;=0),0,
IF(P85&lt;=0,1,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f>
        <v>0</v>
      </c>
      <c r="Q66" s="354">
        <f ca="1">IF(EB.Anwendung&lt;&gt;"",
IF(AND(Q$10&gt;TODAY(),$W$7&gt;0,Q52&lt;=0),0,
IF(AND(Q$10&gt;TODAY(),$W$7&lt;=0,Q53&lt;=0),0,
IF(Q85&lt;=0,1,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f>
        <v>0</v>
      </c>
      <c r="R66" s="354">
        <f ca="1">IF(EB.Anwendung&lt;&gt;"",
IF(AND(R$10&gt;TODAY(),$W$7&gt;0,R52&lt;=0),0,
IF(AND(R$10&gt;TODAY(),$W$7&lt;=0,R53&lt;=0),0,
IF(R85&lt;=0,1,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f>
        <v>1</v>
      </c>
      <c r="S66" s="431">
        <f ca="1">IF(EB.Anwendung&lt;&gt;"",
IF(AND(S$10&gt;TODAY(),$W$7&gt;0,S52&lt;=0),0,
IF(AND(S$10&gt;TODAY(),$W$7&lt;=0,S53&lt;=0),0,
IF(S85&lt;=0,1,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f>
        <v>1</v>
      </c>
      <c r="T66" s="354">
        <f ca="1">IF(EB.Anwendung&lt;&gt;"",
IF(AND(T$10&gt;TODAY(),$W$7&gt;0,T52&lt;=0),0,
IF(AND(T$10&gt;TODAY(),$W$7&lt;=0,T53&lt;=0),0,
IF(T85&lt;=0,1,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f>
        <v>1</v>
      </c>
      <c r="U66" s="354">
        <f ca="1">IF(EB.Anwendung&lt;&gt;"",
IF(AND(U$10&gt;TODAY(),$W$7&gt;0,U52&lt;=0),0,
IF(AND(U$10&gt;TODAY(),$W$7&lt;=0,U53&lt;=0),0,
IF(U85&lt;=0,1,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f>
        <v>1</v>
      </c>
      <c r="V66" s="354">
        <f ca="1">IF(EB.Anwendung&lt;&gt;"",
IF(AND(V$10&gt;TODAY(),$W$7&gt;0,V52&lt;=0),0,
IF(AND(V$10&gt;TODAY(),$W$7&lt;=0,V53&lt;=0),0,
IF(V85&lt;=0,1,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f>
        <v>1</v>
      </c>
      <c r="W66" s="354">
        <f ca="1">IF(EB.Anwendung&lt;&gt;"",
IF(AND(W$10&gt;TODAY(),$W$7&gt;0,W52&lt;=0),0,
IF(AND(W$10&gt;TODAY(),$W$7&lt;=0,W53&lt;=0),0,
IF(W85&lt;=0,1,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f>
        <v>0</v>
      </c>
      <c r="X66" s="432">
        <f ca="1">IF(EB.Anwendung&lt;&gt;"",
IF(AND(X$10&gt;TODAY(),$W$7&gt;0,X52&lt;=0),0,
IF(AND(X$10&gt;TODAY(),$W$7&lt;=0,X53&lt;=0),0,
IF(X85&lt;=0,1,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f>
        <v>0</v>
      </c>
      <c r="Y66" s="354">
        <f ca="1">IF(EB.Anwendung&lt;&gt;"",
IF(AND(Y$10&gt;TODAY(),$W$7&gt;0,Y52&lt;=0),0,
IF(AND(Y$10&gt;TODAY(),$W$7&lt;=0,Y53&lt;=0),0,
IF(Y85&lt;=0,1,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f>
        <v>1</v>
      </c>
      <c r="Z66" s="354">
        <f ca="1">IF(EB.Anwendung&lt;&gt;"",
IF(AND(Z$10&gt;TODAY(),$W$7&gt;0,Z52&lt;=0),0,
IF(AND(Z$10&gt;TODAY(),$W$7&lt;=0,Z53&lt;=0),0,
IF(Z85&lt;=0,1,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f>
        <v>1</v>
      </c>
      <c r="AA66" s="354">
        <f ca="1">IF(EB.Anwendung&lt;&gt;"",
IF(AND(AA$10&gt;TODAY(),$W$7&gt;0,AA52&lt;=0),0,
IF(AND(AA$10&gt;TODAY(),$W$7&lt;=0,AA53&lt;=0),0,
IF(AA85&lt;=0,1,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f>
        <v>1</v>
      </c>
      <c r="AB66" s="354">
        <f ca="1">IF(EB.Anwendung&lt;&gt;"",
IF(AND(AB$10&gt;TODAY(),$W$7&gt;0,AB52&lt;=0),0,
IF(AND(AB$10&gt;TODAY(),$W$7&lt;=0,AB53&lt;=0),0,
IF(AB85&lt;=0,1,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f>
        <v>1</v>
      </c>
      <c r="AC66" s="354">
        <f ca="1">IF(EB.Anwendung&lt;&gt;"",
IF(AND(AC$10&gt;TODAY(),$W$7&gt;0,AC52&lt;=0),0,
IF(AND(AC$10&gt;TODAY(),$W$7&lt;=0,AC53&lt;=0),0,
IF(AC85&lt;=0,1,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f>
        <v>1</v>
      </c>
      <c r="AD66" s="354">
        <f ca="1">IF(EB.Anwendung&lt;&gt;"",
IF(AND(AD$10&gt;TODAY(),$W$7&gt;0,AD52&lt;=0),0,
IF(AND(AD$10&gt;TODAY(),$W$7&lt;=0,AD53&lt;=0),0,
IF(AD85&lt;=0,1,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f>
        <v>0</v>
      </c>
      <c r="AE66" s="212"/>
      <c r="AF66" s="188"/>
      <c r="AG66" s="213"/>
      <c r="AH66" s="214"/>
      <c r="AI66" s="209"/>
      <c r="AJ66" s="209"/>
      <c r="AK66" s="209"/>
      <c r="AL66" s="208"/>
      <c r="AM66" s="209"/>
      <c r="AN66" s="209"/>
      <c r="AO66" s="119"/>
    </row>
    <row r="67" spans="1:41" s="38" customFormat="1" ht="15" customHeight="1" outlineLevel="1" x14ac:dyDescent="0.2">
      <c r="A67" s="212" t="s">
        <v>79</v>
      </c>
      <c r="B67" s="27"/>
      <c r="C67" s="27"/>
      <c r="D67" s="27"/>
      <c r="E67" s="27"/>
      <c r="F67" s="27"/>
      <c r="G67" s="27"/>
      <c r="H67" s="27"/>
      <c r="I67" s="27"/>
      <c r="J67" s="27"/>
      <c r="K67" s="27"/>
      <c r="L67" s="27"/>
      <c r="M67" s="27"/>
      <c r="N67" s="27"/>
      <c r="O67" s="27"/>
      <c r="P67" s="27"/>
      <c r="Q67" s="27"/>
      <c r="R67" s="27"/>
      <c r="S67" s="27"/>
      <c r="T67" s="27"/>
      <c r="U67" s="27"/>
      <c r="V67" s="27"/>
      <c r="W67" s="27"/>
      <c r="X67" s="27"/>
      <c r="Y67" s="27"/>
      <c r="Z67" s="39"/>
      <c r="AA67" s="27"/>
      <c r="AB67" s="27"/>
      <c r="AC67" s="27"/>
      <c r="AD67" s="27"/>
      <c r="AE67" s="205" t="str">
        <f ca="1">A67 &amp; IFERROR(IF(SUMPRODUCT((B66:AD66=0)*(B67:AD67&gt;0))&gt;0," (!)",""),"")</f>
        <v>Compensation working hours</v>
      </c>
      <c r="AF67" s="218"/>
      <c r="AG67" s="238">
        <f>SUM(B67:AD67)</f>
        <v>0</v>
      </c>
      <c r="AH67" s="261"/>
      <c r="AI67" s="245">
        <f ca="1">OFFSET(EB.MKAStd.Knoten,MONTH(Monat.Tag1),0,1,1)</f>
        <v>0.4375</v>
      </c>
      <c r="AJ67" s="272">
        <f ca="1">IF(EB.Anwendung&lt;&gt;"",IF(MONTH(Monat.Tag1)=1,0,IF(MONTH(Monat.Tag1)=2,January!Monat.KomUeVM,IF(MONTH(Monat.Tag1)=3,February!Monat.KomUeVM,IF(MONTH(Monat.Tag1)=4,March!Monat.KomUeVM,IF(MONTH(Monat.Tag1)=5,April!Monat.KomUeVM,IF(MONTH(Monat.Tag1)=6,May!Monat.KomUeVM,IF(MONTH(Monat.Tag1)=7,June!Monat.KomUeVM,IF(MONTH(Monat.Tag1)=8,July!Monat.KomUeVM,IF(MONTH(Monat.Tag1)=9,August!Monat.KomUeVM,IF(MONTH(Monat.Tag1)=10,September!Monat.KomUeVM,IF(MONTH(Monat.Tag1)=11,October!Monat.KomUeVM,IF(MONTH(Monat.Tag1)=12,November!Monat.KomUeVM,"")))))))))))),"")</f>
        <v>0.4375</v>
      </c>
      <c r="AK67" s="209"/>
      <c r="AL67" s="246">
        <f ca="1">AI67+AJ67-Monat.KomAZ.Total</f>
        <v>0.875</v>
      </c>
      <c r="AM67" s="246">
        <f ca="1">Jahresabrechnung!P12-SUM(OFFSET(Jahresabrechnung!P15,0,0,MONTH(Monat.Tag1),1))</f>
        <v>5.25</v>
      </c>
      <c r="AN67" s="246">
        <f ca="1">Jahresabrechnung!P28</f>
        <v>5.25</v>
      </c>
      <c r="AO67" s="119"/>
    </row>
    <row r="68" spans="1:41" s="38" customFormat="1" ht="11.25" customHeight="1" x14ac:dyDescent="0.2">
      <c r="A68" s="220"/>
      <c r="B68" s="434">
        <f ca="1">IF(EB.Anwendung&lt;&gt;"",
IF(B67&gt;0,0,
IF(SUM(B23,B45)&gt;0,1,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
)),"")</f>
        <v>1</v>
      </c>
      <c r="C68" s="434">
        <f ca="1">IF(EB.Anwendung&lt;&gt;"",
IF(C67&gt;0,0,
IF(SUM(C23,C45)&gt;0,1,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
)),"")</f>
        <v>1</v>
      </c>
      <c r="D68" s="434">
        <f ca="1">IF(EB.Anwendung&lt;&gt;"",
IF(D67&gt;0,0,
IF(SUM(D23,D45)&gt;0,1,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
)),"")</f>
        <v>1</v>
      </c>
      <c r="E68" s="434">
        <f ca="1">IF(EB.Anwendung&lt;&gt;"",
IF(E67&gt;0,0,
IF(SUM(E23,E45)&gt;0,1,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
)),"")</f>
        <v>1</v>
      </c>
      <c r="F68" s="434">
        <f ca="1">IF(EB.Anwendung&lt;&gt;"",
IF(F67&gt;0,0,
IF(SUM(F23,F45)&gt;0,1,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
)),"")</f>
        <v>1</v>
      </c>
      <c r="G68" s="434">
        <f ca="1">IF(EB.Anwendung&lt;&gt;"",
IF(G67&gt;0,0,
IF(SUM(G23,G45)&gt;0,1,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
)),"")</f>
        <v>1</v>
      </c>
      <c r="H68" s="434">
        <f ca="1">IF(EB.Anwendung&lt;&gt;"",
IF(H67&gt;0,0,
IF(SUM(H23,H45)&gt;0,1,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
)),"")</f>
        <v>1</v>
      </c>
      <c r="I68" s="434">
        <f ca="1">IF(EB.Anwendung&lt;&gt;"",
IF(I67&gt;0,0,
IF(SUM(I23,I45)&gt;0,1,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
)),"")</f>
        <v>1</v>
      </c>
      <c r="J68" s="434">
        <f ca="1">IF(EB.Anwendung&lt;&gt;"",
IF(J67&gt;0,0,
IF(SUM(J23,J45)&gt;0,1,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
)),"")</f>
        <v>1</v>
      </c>
      <c r="K68" s="434">
        <f ca="1">IF(EB.Anwendung&lt;&gt;"",
IF(K67&gt;0,0,
IF(SUM(K23,K45)&gt;0,1,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
)),"")</f>
        <v>1</v>
      </c>
      <c r="L68" s="434">
        <f ca="1">IF(EB.Anwendung&lt;&gt;"",
IF(L67&gt;0,0,
IF(SUM(L23,L45)&gt;0,1,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
)),"")</f>
        <v>1</v>
      </c>
      <c r="M68" s="434">
        <f ca="1">IF(EB.Anwendung&lt;&gt;"",
IF(M67&gt;0,0,
IF(SUM(M23,M45)&gt;0,1,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
)),"")</f>
        <v>1</v>
      </c>
      <c r="N68" s="434">
        <f ca="1">IF(EB.Anwendung&lt;&gt;"",
IF(N67&gt;0,0,
IF(SUM(N23,N45)&gt;0,1,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
)),"")</f>
        <v>1</v>
      </c>
      <c r="O68" s="434">
        <f ca="1">IF(EB.Anwendung&lt;&gt;"",
IF(O67&gt;0,0,
IF(SUM(O23,O45)&gt;0,1,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
)),"")</f>
        <v>1</v>
      </c>
      <c r="P68" s="434">
        <f ca="1">IF(EB.Anwendung&lt;&gt;"",
IF(P67&gt;0,0,
IF(SUM(P23,P45)&gt;0,1,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
)),"")</f>
        <v>1</v>
      </c>
      <c r="Q68" s="434">
        <f ca="1">IF(EB.Anwendung&lt;&gt;"",
IF(Q67&gt;0,0,
IF(SUM(Q23,Q45)&gt;0,1,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
)),"")</f>
        <v>1</v>
      </c>
      <c r="R68" s="434">
        <f ca="1">IF(EB.Anwendung&lt;&gt;"",
IF(R67&gt;0,0,
IF(SUM(R23,R45)&gt;0,1,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
)),"")</f>
        <v>1</v>
      </c>
      <c r="S68" s="434">
        <f ca="1">IF(EB.Anwendung&lt;&gt;"",
IF(S67&gt;0,0,
IF(SUM(S23,S45)&gt;0,1,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
)),"")</f>
        <v>1</v>
      </c>
      <c r="T68" s="434">
        <f ca="1">IF(EB.Anwendung&lt;&gt;"",
IF(T67&gt;0,0,
IF(SUM(T23,T45)&gt;0,1,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
)),"")</f>
        <v>1</v>
      </c>
      <c r="U68" s="434">
        <f ca="1">IF(EB.Anwendung&lt;&gt;"",
IF(U67&gt;0,0,
IF(SUM(U23,U45)&gt;0,1,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
)),"")</f>
        <v>1</v>
      </c>
      <c r="V68" s="434">
        <f ca="1">IF(EB.Anwendung&lt;&gt;"",
IF(V67&gt;0,0,
IF(SUM(V23,V45)&gt;0,1,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
)),"")</f>
        <v>1</v>
      </c>
      <c r="W68" s="434">
        <f ca="1">IF(EB.Anwendung&lt;&gt;"",
IF(W67&gt;0,0,
IF(SUM(W23,W45)&gt;0,1,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
)),"")</f>
        <v>1</v>
      </c>
      <c r="X68" s="434">
        <f ca="1">IF(EB.Anwendung&lt;&gt;"",
IF(X67&gt;0,0,
IF(SUM(X23,X45)&gt;0,1,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
)),"")</f>
        <v>1</v>
      </c>
      <c r="Y68" s="434">
        <f ca="1">IF(EB.Anwendung&lt;&gt;"",
IF(Y67&gt;0,0,
IF(SUM(Y23,Y45)&gt;0,1,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
)),"")</f>
        <v>1</v>
      </c>
      <c r="Z68" s="434">
        <f ca="1">IF(EB.Anwendung&lt;&gt;"",
IF(Z67&gt;0,0,
IF(SUM(Z23,Z45)&gt;0,1,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
)),"")</f>
        <v>1</v>
      </c>
      <c r="AA68" s="434">
        <f ca="1">IF(EB.Anwendung&lt;&gt;"",
IF(AA67&gt;0,0,
IF(SUM(AA23,AA45)&gt;0,1,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
)),"")</f>
        <v>1</v>
      </c>
      <c r="AB68" s="434">
        <f ca="1">IF(EB.Anwendung&lt;&gt;"",
IF(AB67&gt;0,0,
IF(SUM(AB23,AB45)&gt;0,1,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
)),"")</f>
        <v>1</v>
      </c>
      <c r="AC68" s="434">
        <f ca="1">IF(EB.Anwendung&lt;&gt;"",
IF(AC67&gt;0,0,
IF(SUM(AC23,AC45)&gt;0,1,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
)),"")</f>
        <v>1</v>
      </c>
      <c r="AD68" s="434">
        <f ca="1">IF(EB.Anwendung&lt;&gt;"",
IF(AD67&gt;0,0,
IF(SUM(AD23,AD45)&gt;0,1,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
)),"")</f>
        <v>1</v>
      </c>
      <c r="AE68" s="205"/>
      <c r="AF68" s="188"/>
      <c r="AG68" s="213"/>
      <c r="AH68" s="214"/>
      <c r="AI68" s="209"/>
      <c r="AJ68" s="209"/>
      <c r="AK68" s="209"/>
      <c r="AL68" s="436">
        <f ca="1">IF(OFFSET(A68,0,DAY(EOMONTH(Monat.Tag1,0)))=0,0,1)</f>
        <v>1</v>
      </c>
      <c r="AM68" s="209"/>
      <c r="AN68" s="209"/>
      <c r="AO68" s="119"/>
    </row>
    <row r="69" spans="1:41" s="38" customFormat="1" ht="15" hidden="1" customHeight="1" x14ac:dyDescent="0.2">
      <c r="A69" s="212" t="s">
        <v>220</v>
      </c>
      <c r="B69" s="273">
        <f t="shared" ref="B69:AD69" ca="1" si="19">IF(AND(T.50_Vetsuisse,B72=INDEX(T.JaNein.Bereich,1,1),B73&gt;0,MOD(IFERROR(MATCH(1,B13:B22,0),1),2)=0),1,
IF(AND(T.ServiceCenterIrchel,B72=INDEX(T.JaNein.Bereich,1,1),B77&gt;0),1,
IF(AND(T.50_Vetsuisse=FALSE,T.ServiceCenterIrchel=FALSE,B77&gt;0),1,0)))</f>
        <v>0</v>
      </c>
      <c r="C69" s="273">
        <f t="shared" ca="1" si="19"/>
        <v>0</v>
      </c>
      <c r="D69" s="273">
        <f t="shared" ca="1" si="19"/>
        <v>0</v>
      </c>
      <c r="E69" s="273">
        <f t="shared" ca="1" si="19"/>
        <v>0</v>
      </c>
      <c r="F69" s="273">
        <f t="shared" ca="1" si="19"/>
        <v>0</v>
      </c>
      <c r="G69" s="273">
        <f t="shared" ca="1" si="19"/>
        <v>0</v>
      </c>
      <c r="H69" s="273">
        <f t="shared" ca="1" si="19"/>
        <v>0</v>
      </c>
      <c r="I69" s="273">
        <f t="shared" ca="1" si="19"/>
        <v>0</v>
      </c>
      <c r="J69" s="273">
        <f t="shared" ca="1" si="19"/>
        <v>0</v>
      </c>
      <c r="K69" s="273">
        <f t="shared" ca="1" si="19"/>
        <v>0</v>
      </c>
      <c r="L69" s="273">
        <f t="shared" ca="1" si="19"/>
        <v>0</v>
      </c>
      <c r="M69" s="273">
        <f t="shared" ca="1" si="19"/>
        <v>0</v>
      </c>
      <c r="N69" s="273">
        <f t="shared" ca="1" si="19"/>
        <v>0</v>
      </c>
      <c r="O69" s="273">
        <f t="shared" ca="1" si="19"/>
        <v>0</v>
      </c>
      <c r="P69" s="273">
        <f t="shared" ca="1" si="19"/>
        <v>0</v>
      </c>
      <c r="Q69" s="273">
        <f t="shared" ca="1" si="19"/>
        <v>0</v>
      </c>
      <c r="R69" s="273">
        <f t="shared" ca="1" si="19"/>
        <v>0</v>
      </c>
      <c r="S69" s="273">
        <f t="shared" ca="1" si="19"/>
        <v>0</v>
      </c>
      <c r="T69" s="273">
        <f t="shared" ca="1" si="19"/>
        <v>0</v>
      </c>
      <c r="U69" s="273">
        <f t="shared" ca="1" si="19"/>
        <v>0</v>
      </c>
      <c r="V69" s="273">
        <f t="shared" ca="1" si="19"/>
        <v>0</v>
      </c>
      <c r="W69" s="273">
        <f t="shared" ca="1" si="19"/>
        <v>0</v>
      </c>
      <c r="X69" s="273">
        <f t="shared" ca="1" si="19"/>
        <v>0</v>
      </c>
      <c r="Y69" s="273">
        <f t="shared" ca="1" si="19"/>
        <v>0</v>
      </c>
      <c r="Z69" s="273">
        <f t="shared" ca="1" si="19"/>
        <v>0</v>
      </c>
      <c r="AA69" s="273">
        <f t="shared" ca="1" si="19"/>
        <v>0</v>
      </c>
      <c r="AB69" s="273">
        <f t="shared" ca="1" si="19"/>
        <v>0</v>
      </c>
      <c r="AC69" s="273">
        <f t="shared" ca="1" si="19"/>
        <v>0</v>
      </c>
      <c r="AD69" s="273">
        <f t="shared" ca="1" si="19"/>
        <v>0</v>
      </c>
      <c r="AE69" s="205" t="str">
        <f>A69</f>
        <v>Counter night shift</v>
      </c>
      <c r="AF69" s="274"/>
      <c r="AG69" s="275">
        <f ca="1">SUM(B69:AD69)</f>
        <v>0</v>
      </c>
      <c r="AH69" s="261"/>
      <c r="AI69" s="224"/>
      <c r="AJ69" s="276">
        <f ca="1">IF(EB.Anwendung&lt;&gt;"",IF(MONTH(Monat.Tag1)=1,0,IF(MONTH(Monat.Tag1)=2,January!Monat.ZählerNDUe,IF(MONTH(Monat.Tag1)=3,February!Monat.ZählerNDUe,IF(MONTH(Monat.Tag1)=4,March!Monat.ZählerNDUe,IF(MONTH(Monat.Tag1)=5,April!Monat.ZählerNDUe,IF(MONTH(Monat.Tag1)=6,May!Monat.ZählerNDUe,IF(MONTH(Monat.Tag1)=7,June!Monat.ZählerNDUe,IF(MONTH(Monat.Tag1)=8,July!Monat.ZählerNDUe,IF(MONTH(Monat.Tag1)=9,August!Monat.ZählerNDUe,IF(MONTH(Monat.Tag1)=10,September!Monat.ZählerNDUe,IF(MONTH(Monat.Tag1)=11,October!Monat.ZählerNDUe,IF(MONTH(Monat.Tag1)=12,November!Monat.ZählerNDUe,"")))))))))))),"")</f>
        <v>0</v>
      </c>
      <c r="AK69" s="209"/>
      <c r="AL69" s="277">
        <f ca="1">AJ69+AG69</f>
        <v>0</v>
      </c>
      <c r="AM69" s="208"/>
      <c r="AN69" s="208"/>
      <c r="AO69" s="119"/>
    </row>
    <row r="70" spans="1:41" s="38" customFormat="1" ht="15" hidden="1" customHeight="1" x14ac:dyDescent="0.2">
      <c r="A70" s="212" t="s">
        <v>221</v>
      </c>
      <c r="B70" s="273">
        <f t="shared" ref="B70:AD70" ca="1" si="20">IF(DAY(B$10)=1,$AJ$69,A70)+B69</f>
        <v>0</v>
      </c>
      <c r="C70" s="273">
        <f t="shared" ca="1" si="20"/>
        <v>0</v>
      </c>
      <c r="D70" s="273">
        <f t="shared" ca="1" si="20"/>
        <v>0</v>
      </c>
      <c r="E70" s="273">
        <f t="shared" ca="1" si="20"/>
        <v>0</v>
      </c>
      <c r="F70" s="273">
        <f t="shared" ca="1" si="20"/>
        <v>0</v>
      </c>
      <c r="G70" s="273">
        <f t="shared" ca="1" si="20"/>
        <v>0</v>
      </c>
      <c r="H70" s="273">
        <f t="shared" ca="1" si="20"/>
        <v>0</v>
      </c>
      <c r="I70" s="273">
        <f t="shared" ca="1" si="20"/>
        <v>0</v>
      </c>
      <c r="J70" s="273">
        <f t="shared" ca="1" si="20"/>
        <v>0</v>
      </c>
      <c r="K70" s="273">
        <f t="shared" ca="1" si="20"/>
        <v>0</v>
      </c>
      <c r="L70" s="273">
        <f t="shared" ca="1" si="20"/>
        <v>0</v>
      </c>
      <c r="M70" s="273">
        <f t="shared" ca="1" si="20"/>
        <v>0</v>
      </c>
      <c r="N70" s="273">
        <f t="shared" ca="1" si="20"/>
        <v>0</v>
      </c>
      <c r="O70" s="273">
        <f t="shared" ca="1" si="20"/>
        <v>0</v>
      </c>
      <c r="P70" s="273">
        <f t="shared" ca="1" si="20"/>
        <v>0</v>
      </c>
      <c r="Q70" s="273">
        <f t="shared" ca="1" si="20"/>
        <v>0</v>
      </c>
      <c r="R70" s="273">
        <f t="shared" ca="1" si="20"/>
        <v>0</v>
      </c>
      <c r="S70" s="273">
        <f t="shared" ca="1" si="20"/>
        <v>0</v>
      </c>
      <c r="T70" s="273">
        <f t="shared" ca="1" si="20"/>
        <v>0</v>
      </c>
      <c r="U70" s="273">
        <f t="shared" ca="1" si="20"/>
        <v>0</v>
      </c>
      <c r="V70" s="273">
        <f t="shared" ca="1" si="20"/>
        <v>0</v>
      </c>
      <c r="W70" s="273">
        <f t="shared" ca="1" si="20"/>
        <v>0</v>
      </c>
      <c r="X70" s="273">
        <f t="shared" ca="1" si="20"/>
        <v>0</v>
      </c>
      <c r="Y70" s="273">
        <f t="shared" ca="1" si="20"/>
        <v>0</v>
      </c>
      <c r="Z70" s="273">
        <f t="shared" ca="1" si="20"/>
        <v>0</v>
      </c>
      <c r="AA70" s="273">
        <f t="shared" ca="1" si="20"/>
        <v>0</v>
      </c>
      <c r="AB70" s="273">
        <f t="shared" ca="1" si="20"/>
        <v>0</v>
      </c>
      <c r="AC70" s="273">
        <f t="shared" ca="1" si="20"/>
        <v>0</v>
      </c>
      <c r="AD70" s="273">
        <f t="shared" ca="1" si="20"/>
        <v>0</v>
      </c>
      <c r="AE70" s="205" t="str">
        <f>A70</f>
        <v>Balance counter night shift</v>
      </c>
      <c r="AF70" s="228"/>
      <c r="AG70" s="224"/>
      <c r="AH70" s="278"/>
      <c r="AI70" s="262"/>
      <c r="AJ70" s="262"/>
      <c r="AK70" s="209"/>
      <c r="AL70" s="279"/>
      <c r="AM70" s="208"/>
      <c r="AN70" s="208"/>
      <c r="AO70" s="119"/>
    </row>
    <row r="71" spans="1:41" s="38" customFormat="1" ht="15" hidden="1" customHeight="1" outlineLevel="1" x14ac:dyDescent="0.2">
      <c r="A71" s="212" t="s">
        <v>222</v>
      </c>
      <c r="B71" s="40"/>
      <c r="C71" s="40"/>
      <c r="D71" s="40"/>
      <c r="E71" s="27"/>
      <c r="F71" s="40"/>
      <c r="G71" s="40"/>
      <c r="H71" s="40"/>
      <c r="I71" s="40"/>
      <c r="J71" s="27"/>
      <c r="K71" s="40"/>
      <c r="L71" s="27"/>
      <c r="M71" s="40"/>
      <c r="N71" s="40"/>
      <c r="O71" s="40"/>
      <c r="P71" s="40"/>
      <c r="Q71" s="27"/>
      <c r="R71" s="40"/>
      <c r="S71" s="27"/>
      <c r="T71" s="27"/>
      <c r="U71" s="40"/>
      <c r="V71" s="40"/>
      <c r="W71" s="40"/>
      <c r="X71" s="27"/>
      <c r="Y71" s="40"/>
      <c r="Z71" s="39"/>
      <c r="AA71" s="40"/>
      <c r="AB71" s="40"/>
      <c r="AC71" s="40"/>
      <c r="AD71" s="40"/>
      <c r="AE71" s="205" t="str">
        <f>A71</f>
        <v>Compensation TS night shift</v>
      </c>
      <c r="AF71" s="218"/>
      <c r="AG71" s="238">
        <f>SUM(B71:AD71)</f>
        <v>0</v>
      </c>
      <c r="AH71" s="261"/>
      <c r="AI71" s="262"/>
      <c r="AJ71" s="245">
        <f ca="1">IF(EB.Anwendung&lt;&gt;"",IF(MONTH(Monat.Tag1)=1,0,IF(MONTH(Monat.Tag1)=2,January!Monat.KompZZSNDUeVM,IF(MONTH(Monat.Tag1)=3,February!Monat.KompZZSNDUeVM,IF(MONTH(Monat.Tag1)=4,March!Monat.KompZZSNDUeVM,IF(MONTH(Monat.Tag1)=5,April!Monat.KompZZSNDUeVM,IF(MONTH(Monat.Tag1)=6,May!Monat.KompZZSNDUeVM,IF(MONTH(Monat.Tag1)=7,June!Monat.KompZZSNDUeVM,IF(MONTH(Monat.Tag1)=8,July!Monat.KompZZSNDUeVM,IF(MONTH(Monat.Tag1)=9,August!Monat.KompZZSNDUeVM,IF(MONTH(Monat.Tag1)=10,September!Monat.KompZZSNDUeVM,IF(MONTH(Monat.Tag1)=11,October!Monat.KompZZSNDUeVM,IF(MONTH(Monat.Tag1)=12,November!Monat.KompZZSNDUeVM,"")))))))))))),"")</f>
        <v>0</v>
      </c>
      <c r="AK71" s="209"/>
      <c r="AL71" s="246">
        <f ca="1">AG71+AJ71</f>
        <v>0</v>
      </c>
      <c r="AM71" s="246">
        <f ca="1">SUM(OFFSET(Jahr.KompZZSND,-12,0,MONTH(Monat.Tag1),1))</f>
        <v>0</v>
      </c>
      <c r="AN71" s="246">
        <f ca="1">Jahr.KompZZSND</f>
        <v>0</v>
      </c>
      <c r="AO71" s="119"/>
    </row>
    <row r="72" spans="1:41" s="38" customFormat="1" ht="15" hidden="1" customHeight="1" outlineLevel="1" x14ac:dyDescent="0.2">
      <c r="A72" s="212" t="s">
        <v>223</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205" t="str">
        <f>A72</f>
        <v>Start pl. night shift Yes/No</v>
      </c>
      <c r="AF72" s="218"/>
      <c r="AG72" s="224"/>
      <c r="AH72" s="229">
        <f ca="1">IFERROR(SUMPRODUCT((B72:AD72=INDEX(T.JaNein.Bereich,1))*(B72:AD72&lt;&gt;"")),0)</f>
        <v>0</v>
      </c>
      <c r="AI72" s="262"/>
      <c r="AJ72" s="229">
        <f ca="1">AJ69</f>
        <v>0</v>
      </c>
      <c r="AK72" s="209"/>
      <c r="AL72" s="277">
        <f ca="1">AL69</f>
        <v>0</v>
      </c>
      <c r="AM72" s="209"/>
      <c r="AN72" s="209"/>
      <c r="AO72" s="119"/>
    </row>
    <row r="73" spans="1:41" s="38" customFormat="1" ht="15" customHeight="1" outlineLevel="1" x14ac:dyDescent="0.2">
      <c r="A73" s="212" t="s">
        <v>88</v>
      </c>
      <c r="B73" s="280">
        <f t="shared" ref="B73:AD73" ca="1" si="21">IF(B$12=0,0,IF(OR(T.50_Vetsuisse,T.ServiceCenterIrchel),ROUND((B14-B13+MAX(0,T.Nachtab-MAX(T.Nachtbis,B14))-MAX(0,T.Nachtab-MAX(B13,T.Nachtbis))+(B13&gt;B14)*(1+T.Nachtbis-T.Nachtab)+B16-B15+MAX(0,T.Nachtab-MAX(T.Nachtbis,B16))-MAX(0,T.Nachtab-MAX(B15,T.Nachtbis))+(B15&gt;B16)*(1+T.Nachtbis-T.Nachtab)+B18-B17+MAX(0,T.Nachtab-MAX(T.Nachtbis,B18))-MAX(0,T.Nachtab-MAX(B17,T.Nachtbis))+(B17&gt;B18)*(1+T.Nachtbis-T.Nachtab)+B20-B19+MAX(0,T.Nachtab-MAX(T.Nachtbis,B20))-MAX(0,T.Nachtab-MAX(B19,T.Nachtbis))+(B19&gt;B20)*(1+T.Nachtbis-T.Nachtab)+B22-B21+MAX(0,T.Nachtab-MAX(T.Nachtbis,B22))-MAX(0,T.Nachtab-MAX(B21,T.Nachtbis))+(B21&gt;B22)*(1+T.Nachtbis-T.Nachtab))*1440,0)/1440,
IF(AND(WEEKDAY(B$10,2)&lt;6,B$11&lt;&gt;0),ROUND((B36-B35+MAX(0,T.Nachtab-MAX(T.Nachtbis,B36))-MAX(0,T.Nachtab-MAX(B35,T.Nachtbis))+(B35&gt;B36)*(1+T.Nachtbis-T.Nachtab)+B38-B37+MAX(0,T.Nachtab-MAX(T.Nachtbis,B38))-MAX(0,T.Nachtab-MAX(B37,T.Nachtbis))+(B37&gt;B38)*(1+T.Nachtbis-T.Nachtab)+B40-B39+MAX(0,T.Nachtab-MAX(T.Nachtbis,B40))-MAX(0,T.Nachtab-MAX(B39,T.Nachtbis))+(B39&gt;B40)*(1+T.Nachtbis-T.Nachtab)+B42-B41+MAX(0,T.Nachtab-MAX(T.Nachtbis,B42))-MAX(0,T.Nachtab-MAX(B41,T.Nachtbis))+(B41&gt;B42)*(1+T.Nachtbis-T.Nachtab)+B44-B43+MAX(0,T.Nachtab-MAX(T.Nachtbis,B44))-MAX(0,T.Nachtab-MAX(B43,T.Nachtbis))+(B43&gt;B44)*(1+T.Nachtbis-T.Nachtab))*1440,0)/1440,0)))</f>
        <v>0</v>
      </c>
      <c r="C73" s="280">
        <f t="shared" ca="1" si="21"/>
        <v>0</v>
      </c>
      <c r="D73" s="280">
        <f t="shared" ca="1" si="21"/>
        <v>0</v>
      </c>
      <c r="E73" s="280">
        <f t="shared" ca="1" si="21"/>
        <v>0</v>
      </c>
      <c r="F73" s="280">
        <f t="shared" ca="1" si="21"/>
        <v>0</v>
      </c>
      <c r="G73" s="280">
        <f t="shared" ca="1" si="21"/>
        <v>0</v>
      </c>
      <c r="H73" s="280">
        <f t="shared" ca="1" si="21"/>
        <v>0</v>
      </c>
      <c r="I73" s="280">
        <f t="shared" ca="1" si="21"/>
        <v>0</v>
      </c>
      <c r="J73" s="280">
        <f t="shared" ca="1" si="21"/>
        <v>0</v>
      </c>
      <c r="K73" s="280">
        <f t="shared" ca="1" si="21"/>
        <v>0</v>
      </c>
      <c r="L73" s="280">
        <f t="shared" ca="1" si="21"/>
        <v>0</v>
      </c>
      <c r="M73" s="280">
        <f t="shared" ca="1" si="21"/>
        <v>0</v>
      </c>
      <c r="N73" s="280">
        <f t="shared" ca="1" si="21"/>
        <v>0</v>
      </c>
      <c r="O73" s="280">
        <f t="shared" ca="1" si="21"/>
        <v>0</v>
      </c>
      <c r="P73" s="280">
        <f t="shared" ca="1" si="21"/>
        <v>0</v>
      </c>
      <c r="Q73" s="280">
        <f t="shared" ca="1" si="21"/>
        <v>0</v>
      </c>
      <c r="R73" s="280">
        <f t="shared" ca="1" si="21"/>
        <v>0</v>
      </c>
      <c r="S73" s="280">
        <f t="shared" ca="1" si="21"/>
        <v>0</v>
      </c>
      <c r="T73" s="280">
        <f t="shared" ca="1" si="21"/>
        <v>0</v>
      </c>
      <c r="U73" s="280">
        <f t="shared" ca="1" si="21"/>
        <v>0</v>
      </c>
      <c r="V73" s="280">
        <f t="shared" ca="1" si="21"/>
        <v>0</v>
      </c>
      <c r="W73" s="280">
        <f t="shared" ca="1" si="21"/>
        <v>0</v>
      </c>
      <c r="X73" s="280">
        <f t="shared" ca="1" si="21"/>
        <v>0</v>
      </c>
      <c r="Y73" s="280">
        <f t="shared" ca="1" si="21"/>
        <v>0</v>
      </c>
      <c r="Z73" s="280">
        <f t="shared" ca="1" si="21"/>
        <v>0</v>
      </c>
      <c r="AA73" s="280">
        <f t="shared" ca="1" si="21"/>
        <v>0</v>
      </c>
      <c r="AB73" s="280">
        <f t="shared" ca="1" si="21"/>
        <v>0</v>
      </c>
      <c r="AC73" s="280">
        <f t="shared" ca="1" si="21"/>
        <v>0</v>
      </c>
      <c r="AD73" s="280">
        <f t="shared" ca="1" si="21"/>
        <v>0</v>
      </c>
      <c r="AE73" s="205" t="str">
        <f>A73</f>
        <v>Night shift</v>
      </c>
      <c r="AF73" s="228"/>
      <c r="AG73" s="238">
        <f ca="1">SUM(B73:AD73)</f>
        <v>0</v>
      </c>
      <c r="AH73" s="229">
        <f ca="1">IF(OR(T.50_Vetsuisse,T.ServiceCenterIrchel),AG69,
IFERROR(SUMPRODUCT((B77:AD77&gt;0)*(B77:AD77&lt;&gt;"")),0))</f>
        <v>0</v>
      </c>
      <c r="AI73" s="224"/>
      <c r="AJ73" s="245">
        <f ca="1">IF(EB.Anwendung&lt;&gt;"",IF(MONTH(Monat.Tag1)=1,0,IF(MONTH(Monat.Tag1)=2,January!Monat.NDUeVM,IF(MONTH(Monat.Tag1)=3,February!Monat.NDUeVM,IF(MONTH(Monat.Tag1)=4,March!Monat.NDUeVM,IF(MONTH(Monat.Tag1)=5,April!Monat.NDUeVM,IF(MONTH(Monat.Tag1)=6,May!Monat.NDUeVM,IF(MONTH(Monat.Tag1)=7,June!Monat.NDUeVM,IF(MONTH(Monat.Tag1)=8,July!Monat.NDUeVM,IF(MONTH(Monat.Tag1)=9,August!Monat.NDUeVM,IF(MONTH(Monat.Tag1)=10,September!Monat.NDUeVM,IF(MONTH(Monat.Tag1)=11,October!Monat.NDUeVM,IF(MONTH(Monat.Tag1)=12,November!Monat.NDUeVM,"")))))))))))),"")</f>
        <v>0</v>
      </c>
      <c r="AK73" s="209"/>
      <c r="AL73" s="246">
        <f ca="1">AG73+AJ73</f>
        <v>0</v>
      </c>
      <c r="AM73" s="208"/>
      <c r="AN73" s="208"/>
      <c r="AO73" s="119"/>
    </row>
    <row r="74" spans="1:41" s="38" customFormat="1" ht="3.75" hidden="1" customHeight="1" x14ac:dyDescent="0.2">
      <c r="A74" s="220"/>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205"/>
      <c r="AF74" s="188"/>
      <c r="AG74" s="213"/>
      <c r="AH74" s="214"/>
      <c r="AI74" s="209"/>
      <c r="AJ74" s="209"/>
      <c r="AK74" s="209"/>
      <c r="AL74" s="208"/>
      <c r="AM74" s="209"/>
      <c r="AN74" s="209"/>
      <c r="AO74" s="119"/>
    </row>
    <row r="75" spans="1:41" s="38" customFormat="1" ht="16.5" hidden="1" customHeight="1" outlineLevel="1" x14ac:dyDescent="0.2">
      <c r="A75" s="215" t="s">
        <v>252</v>
      </c>
      <c r="B75" s="216">
        <f t="shared" ref="B75:AD75" ca="1" si="22">IF(B73&gt;0,ROUND((B73-
IF(B13&lt;T.Nachtbis,MIN(T.Nachtbis-B13,B14-B13)+IF(B15&lt;T.Nachtbis,MIN(T.Nachtbis-B15,B16-B15)+IF(B17&lt;T.Nachtbis,MIN(T.Nachtbis-B17,B18-B17)+IF(B19&lt;T.Nachtbis,MIN(T.Nachtbis-B19,B20-B19)+IF(B21&lt;T.Nachtbis,MIN(T.Nachtbis-B21,B22-B21),0),0),0),0),0))*1440,0)/1440,0)</f>
        <v>0</v>
      </c>
      <c r="C75" s="216">
        <f t="shared" ca="1" si="22"/>
        <v>0</v>
      </c>
      <c r="D75" s="216">
        <f t="shared" ca="1" si="22"/>
        <v>0</v>
      </c>
      <c r="E75" s="216">
        <f t="shared" ca="1" si="22"/>
        <v>0</v>
      </c>
      <c r="F75" s="216">
        <f t="shared" ca="1" si="22"/>
        <v>0</v>
      </c>
      <c r="G75" s="216">
        <f t="shared" ca="1" si="22"/>
        <v>0</v>
      </c>
      <c r="H75" s="216">
        <f t="shared" ca="1" si="22"/>
        <v>0</v>
      </c>
      <c r="I75" s="216">
        <f t="shared" ca="1" si="22"/>
        <v>0</v>
      </c>
      <c r="J75" s="216">
        <f t="shared" ca="1" si="22"/>
        <v>0</v>
      </c>
      <c r="K75" s="216">
        <f t="shared" ca="1" si="22"/>
        <v>0</v>
      </c>
      <c r="L75" s="216">
        <f t="shared" ca="1" si="22"/>
        <v>0</v>
      </c>
      <c r="M75" s="216">
        <f t="shared" ca="1" si="22"/>
        <v>0</v>
      </c>
      <c r="N75" s="216">
        <f t="shared" ca="1" si="22"/>
        <v>0</v>
      </c>
      <c r="O75" s="216">
        <f t="shared" ca="1" si="22"/>
        <v>0</v>
      </c>
      <c r="P75" s="216">
        <f t="shared" ca="1" si="22"/>
        <v>0</v>
      </c>
      <c r="Q75" s="216">
        <f t="shared" ca="1" si="22"/>
        <v>0</v>
      </c>
      <c r="R75" s="216">
        <f t="shared" ca="1" si="22"/>
        <v>0</v>
      </c>
      <c r="S75" s="216">
        <f t="shared" ca="1" si="22"/>
        <v>0</v>
      </c>
      <c r="T75" s="216">
        <f t="shared" ca="1" si="22"/>
        <v>0</v>
      </c>
      <c r="U75" s="216">
        <f t="shared" ca="1" si="22"/>
        <v>0</v>
      </c>
      <c r="V75" s="216">
        <f t="shared" ca="1" si="22"/>
        <v>0</v>
      </c>
      <c r="W75" s="216">
        <f t="shared" ca="1" si="22"/>
        <v>0</v>
      </c>
      <c r="X75" s="216">
        <f t="shared" ca="1" si="22"/>
        <v>0</v>
      </c>
      <c r="Y75" s="216">
        <f t="shared" ca="1" si="22"/>
        <v>0</v>
      </c>
      <c r="Z75" s="216">
        <f t="shared" ca="1" si="22"/>
        <v>0</v>
      </c>
      <c r="AA75" s="216">
        <f t="shared" ca="1" si="22"/>
        <v>0</v>
      </c>
      <c r="AB75" s="216">
        <f t="shared" ca="1" si="22"/>
        <v>0</v>
      </c>
      <c r="AC75" s="216">
        <f t="shared" ca="1" si="22"/>
        <v>0</v>
      </c>
      <c r="AD75" s="216">
        <f t="shared" ca="1" si="22"/>
        <v>0</v>
      </c>
      <c r="AE75" s="217" t="str">
        <f>A75</f>
        <v>Total NS hours today</v>
      </c>
      <c r="AF75" s="188"/>
      <c r="AG75" s="213"/>
      <c r="AH75" s="214"/>
      <c r="AI75" s="209"/>
      <c r="AJ75" s="209"/>
      <c r="AK75" s="209"/>
      <c r="AL75" s="208"/>
      <c r="AM75" s="209"/>
      <c r="AN75" s="209"/>
      <c r="AO75" s="119"/>
    </row>
    <row r="76" spans="1:41" s="38" customFormat="1" ht="16.5" hidden="1" customHeight="1" outlineLevel="1" x14ac:dyDescent="0.2">
      <c r="A76" s="215" t="s">
        <v>253</v>
      </c>
      <c r="B76" s="225">
        <f t="shared" ref="B76:AD76" ca="1" si="23">B73-B75</f>
        <v>0</v>
      </c>
      <c r="C76" s="225">
        <f t="shared" ca="1" si="23"/>
        <v>0</v>
      </c>
      <c r="D76" s="225">
        <f t="shared" ca="1" si="23"/>
        <v>0</v>
      </c>
      <c r="E76" s="225">
        <f t="shared" ca="1" si="23"/>
        <v>0</v>
      </c>
      <c r="F76" s="225">
        <f t="shared" ca="1" si="23"/>
        <v>0</v>
      </c>
      <c r="G76" s="225">
        <f t="shared" ca="1" si="23"/>
        <v>0</v>
      </c>
      <c r="H76" s="225">
        <f t="shared" ca="1" si="23"/>
        <v>0</v>
      </c>
      <c r="I76" s="225">
        <f t="shared" ca="1" si="23"/>
        <v>0</v>
      </c>
      <c r="J76" s="225">
        <f t="shared" ca="1" si="23"/>
        <v>0</v>
      </c>
      <c r="K76" s="225">
        <f t="shared" ca="1" si="23"/>
        <v>0</v>
      </c>
      <c r="L76" s="225">
        <f t="shared" ca="1" si="23"/>
        <v>0</v>
      </c>
      <c r="M76" s="225">
        <f t="shared" ca="1" si="23"/>
        <v>0</v>
      </c>
      <c r="N76" s="225">
        <f t="shared" ca="1" si="23"/>
        <v>0</v>
      </c>
      <c r="O76" s="225">
        <f t="shared" ca="1" si="23"/>
        <v>0</v>
      </c>
      <c r="P76" s="225">
        <f t="shared" ca="1" si="23"/>
        <v>0</v>
      </c>
      <c r="Q76" s="225">
        <f t="shared" ca="1" si="23"/>
        <v>0</v>
      </c>
      <c r="R76" s="225">
        <f t="shared" ca="1" si="23"/>
        <v>0</v>
      </c>
      <c r="S76" s="225">
        <f t="shared" ca="1" si="23"/>
        <v>0</v>
      </c>
      <c r="T76" s="225">
        <f t="shared" ca="1" si="23"/>
        <v>0</v>
      </c>
      <c r="U76" s="225">
        <f t="shared" ca="1" si="23"/>
        <v>0</v>
      </c>
      <c r="V76" s="225">
        <f t="shared" ca="1" si="23"/>
        <v>0</v>
      </c>
      <c r="W76" s="225">
        <f t="shared" ca="1" si="23"/>
        <v>0</v>
      </c>
      <c r="X76" s="225">
        <f t="shared" ca="1" si="23"/>
        <v>0</v>
      </c>
      <c r="Y76" s="225">
        <f t="shared" ca="1" si="23"/>
        <v>0</v>
      </c>
      <c r="Z76" s="225">
        <f t="shared" ca="1" si="23"/>
        <v>0</v>
      </c>
      <c r="AA76" s="225">
        <f t="shared" ca="1" si="23"/>
        <v>0</v>
      </c>
      <c r="AB76" s="225">
        <f t="shared" ca="1" si="23"/>
        <v>0</v>
      </c>
      <c r="AC76" s="225">
        <f t="shared" ca="1" si="23"/>
        <v>0</v>
      </c>
      <c r="AD76" s="225">
        <f t="shared" ca="1" si="23"/>
        <v>0</v>
      </c>
      <c r="AE76" s="217" t="str">
        <f>A76</f>
        <v>Total NS hours yesterday</v>
      </c>
      <c r="AF76" s="188"/>
      <c r="AG76" s="213"/>
      <c r="AH76" s="214"/>
      <c r="AI76" s="209"/>
      <c r="AJ76" s="209"/>
      <c r="AK76" s="230">
        <f ca="1">IF(EB.Anwendung&lt;&gt;"",IF(MONTH(Monat.Tag1)=12,0,IF(MONTH(Monat.Tag1)=1,February!Monat.NDgesternTag1,IF(MONTH(Monat.Tag1)=2,March!Monat.NDgesternTag1,IF(MONTH(Monat.Tag1)=3,April!Monat.NDgesternTag1,IF(MONTH(Monat.Tag1)=4,May!Monat.NDgesternTag1,IF(MONTH(Monat.Tag1)=5,June!Monat.NDgesternTag1,IF(MONTH(Monat.Tag1)=6,July!Monat.NDgesternTag1,IF(MONTH(Monat.Tag1)=7,August!Monat.NDgesternTag1,IF(MONTH(Monat.Tag1)=8,September!Monat.NDgesternTag1,IF(MONTH(Monat.Tag1)=9,October!Monat.NDgesternTag1,IF(MONTH(Monat.Tag1)=10,November!Monat.NDgesternTag1,IF(MONTH(Monat.Tag1)=11,December!Monat.NDgesternTag1,"")))))))))))),"")</f>
        <v>0</v>
      </c>
      <c r="AL76" s="208"/>
      <c r="AM76" s="209"/>
      <c r="AN76" s="209"/>
      <c r="AO76" s="119"/>
    </row>
    <row r="77" spans="1:41" s="38" customFormat="1" ht="16.5" hidden="1" customHeight="1" outlineLevel="1" x14ac:dyDescent="0.2">
      <c r="A77" s="215" t="s">
        <v>254</v>
      </c>
      <c r="B77" s="216">
        <f t="shared" ref="B77:AC77" ca="1" si="24">B75+IF(B$10=EOMONTH(B$10,0),$AK76,C76)</f>
        <v>0</v>
      </c>
      <c r="C77" s="216">
        <f t="shared" ca="1" si="24"/>
        <v>0</v>
      </c>
      <c r="D77" s="216">
        <f t="shared" ca="1" si="24"/>
        <v>0</v>
      </c>
      <c r="E77" s="216">
        <f t="shared" ca="1" si="24"/>
        <v>0</v>
      </c>
      <c r="F77" s="216">
        <f t="shared" ca="1" si="24"/>
        <v>0</v>
      </c>
      <c r="G77" s="216">
        <f t="shared" ca="1" si="24"/>
        <v>0</v>
      </c>
      <c r="H77" s="216">
        <f t="shared" ca="1" si="24"/>
        <v>0</v>
      </c>
      <c r="I77" s="216">
        <f t="shared" ca="1" si="24"/>
        <v>0</v>
      </c>
      <c r="J77" s="216">
        <f t="shared" ca="1" si="24"/>
        <v>0</v>
      </c>
      <c r="K77" s="216">
        <f t="shared" ca="1" si="24"/>
        <v>0</v>
      </c>
      <c r="L77" s="216">
        <f t="shared" ca="1" si="24"/>
        <v>0</v>
      </c>
      <c r="M77" s="216">
        <f t="shared" ca="1" si="24"/>
        <v>0</v>
      </c>
      <c r="N77" s="216">
        <f t="shared" ca="1" si="24"/>
        <v>0</v>
      </c>
      <c r="O77" s="216">
        <f t="shared" ca="1" si="24"/>
        <v>0</v>
      </c>
      <c r="P77" s="216">
        <f t="shared" ca="1" si="24"/>
        <v>0</v>
      </c>
      <c r="Q77" s="216">
        <f t="shared" ca="1" si="24"/>
        <v>0</v>
      </c>
      <c r="R77" s="216">
        <f t="shared" ca="1" si="24"/>
        <v>0</v>
      </c>
      <c r="S77" s="216">
        <f t="shared" ca="1" si="24"/>
        <v>0</v>
      </c>
      <c r="T77" s="216">
        <f t="shared" ca="1" si="24"/>
        <v>0</v>
      </c>
      <c r="U77" s="216">
        <f t="shared" ca="1" si="24"/>
        <v>0</v>
      </c>
      <c r="V77" s="216">
        <f t="shared" ca="1" si="24"/>
        <v>0</v>
      </c>
      <c r="W77" s="216">
        <f t="shared" ca="1" si="24"/>
        <v>0</v>
      </c>
      <c r="X77" s="216">
        <f t="shared" ca="1" si="24"/>
        <v>0</v>
      </c>
      <c r="Y77" s="216">
        <f t="shared" ca="1" si="24"/>
        <v>0</v>
      </c>
      <c r="Z77" s="216">
        <f t="shared" ca="1" si="24"/>
        <v>0</v>
      </c>
      <c r="AA77" s="216">
        <f t="shared" ca="1" si="24"/>
        <v>0</v>
      </c>
      <c r="AB77" s="216">
        <f t="shared" ca="1" si="24"/>
        <v>0</v>
      </c>
      <c r="AC77" s="216">
        <f t="shared" ca="1" si="24"/>
        <v>0</v>
      </c>
      <c r="AD77" s="216">
        <f ca="1">AD75+IF(AD$10=EOMONTH(AD$10,0),$AK76,#REF!)</f>
        <v>0</v>
      </c>
      <c r="AE77" s="217" t="str">
        <f>A77</f>
        <v>Total NS hours</v>
      </c>
      <c r="AF77" s="218"/>
      <c r="AG77" s="219">
        <f ca="1">SUM(B77:AD77)</f>
        <v>0</v>
      </c>
      <c r="AH77" s="214"/>
      <c r="AI77" s="209"/>
      <c r="AJ77" s="209"/>
      <c r="AK77" s="209"/>
      <c r="AL77" s="208"/>
      <c r="AM77" s="209"/>
      <c r="AN77" s="209"/>
      <c r="AO77" s="119"/>
    </row>
    <row r="78" spans="1:41" s="38" customFormat="1" ht="3.75" hidden="1" customHeight="1" collapsed="1" x14ac:dyDescent="0.2">
      <c r="A78" s="220"/>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05"/>
      <c r="AF78" s="233"/>
      <c r="AG78" s="222"/>
      <c r="AH78" s="214"/>
      <c r="AI78" s="209"/>
      <c r="AJ78" s="209"/>
      <c r="AK78" s="209"/>
      <c r="AL78" s="208"/>
      <c r="AM78" s="209"/>
      <c r="AN78" s="209"/>
      <c r="AO78" s="119"/>
    </row>
    <row r="79" spans="1:41" s="38" customFormat="1" ht="15" customHeight="1" outlineLevel="1" x14ac:dyDescent="0.2">
      <c r="A79" s="212" t="s">
        <v>200</v>
      </c>
      <c r="B79" s="280">
        <f t="shared" ref="B79:AD79" ca="1" si="25">IF(AND(T.50_Vetsuisse,B70&gt;24),ROUND(B73*T.50_VetsuisseZZSND*1440,0)/1440,
IF(AND(T.ServiceCenterIrchel,B69&gt;0,B77&gt;=ROUND(1/24*8*1440,0)/1440),ROUND(B77*T.ServiceCenterIrchelZZSND*1440,0)/1440,))</f>
        <v>0</v>
      </c>
      <c r="C79" s="280">
        <f t="shared" ca="1" si="25"/>
        <v>0</v>
      </c>
      <c r="D79" s="280">
        <f t="shared" ca="1" si="25"/>
        <v>0</v>
      </c>
      <c r="E79" s="280">
        <f t="shared" ca="1" si="25"/>
        <v>0</v>
      </c>
      <c r="F79" s="280">
        <f t="shared" ca="1" si="25"/>
        <v>0</v>
      </c>
      <c r="G79" s="280">
        <f t="shared" ca="1" si="25"/>
        <v>0</v>
      </c>
      <c r="H79" s="280">
        <f t="shared" ca="1" si="25"/>
        <v>0</v>
      </c>
      <c r="I79" s="280">
        <f t="shared" ca="1" si="25"/>
        <v>0</v>
      </c>
      <c r="J79" s="280">
        <f t="shared" ca="1" si="25"/>
        <v>0</v>
      </c>
      <c r="K79" s="280">
        <f t="shared" ca="1" si="25"/>
        <v>0</v>
      </c>
      <c r="L79" s="280">
        <f t="shared" ca="1" si="25"/>
        <v>0</v>
      </c>
      <c r="M79" s="280">
        <f t="shared" ca="1" si="25"/>
        <v>0</v>
      </c>
      <c r="N79" s="280">
        <f t="shared" ca="1" si="25"/>
        <v>0</v>
      </c>
      <c r="O79" s="280">
        <f t="shared" ca="1" si="25"/>
        <v>0</v>
      </c>
      <c r="P79" s="280">
        <f t="shared" ca="1" si="25"/>
        <v>0</v>
      </c>
      <c r="Q79" s="280">
        <f t="shared" ca="1" si="25"/>
        <v>0</v>
      </c>
      <c r="R79" s="280">
        <f t="shared" ca="1" si="25"/>
        <v>0</v>
      </c>
      <c r="S79" s="280">
        <f t="shared" ca="1" si="25"/>
        <v>0</v>
      </c>
      <c r="T79" s="280">
        <f t="shared" ca="1" si="25"/>
        <v>0</v>
      </c>
      <c r="U79" s="280">
        <f t="shared" ca="1" si="25"/>
        <v>0</v>
      </c>
      <c r="V79" s="280">
        <f t="shared" ca="1" si="25"/>
        <v>0</v>
      </c>
      <c r="W79" s="280">
        <f t="shared" ca="1" si="25"/>
        <v>0</v>
      </c>
      <c r="X79" s="280">
        <f t="shared" ca="1" si="25"/>
        <v>0</v>
      </c>
      <c r="Y79" s="280">
        <f t="shared" ca="1" si="25"/>
        <v>0</v>
      </c>
      <c r="Z79" s="280">
        <f t="shared" ca="1" si="25"/>
        <v>0</v>
      </c>
      <c r="AA79" s="280">
        <f t="shared" ca="1" si="25"/>
        <v>0</v>
      </c>
      <c r="AB79" s="280">
        <f t="shared" ca="1" si="25"/>
        <v>0</v>
      </c>
      <c r="AC79" s="280">
        <f t="shared" ca="1" si="25"/>
        <v>0</v>
      </c>
      <c r="AD79" s="280">
        <f t="shared" ca="1" si="25"/>
        <v>0</v>
      </c>
      <c r="AE79" s="205" t="str">
        <f>A79</f>
        <v>Time supplement night shift</v>
      </c>
      <c r="AF79" s="274"/>
      <c r="AG79" s="238">
        <f ca="1">SUM(B79:AD79)</f>
        <v>0</v>
      </c>
      <c r="AH79" s="261"/>
      <c r="AI79" s="224"/>
      <c r="AJ79" s="245">
        <f ca="1">IF(EB.Anwendung&lt;&gt;"",IF(MONTH(Monat.Tag1)=1,EB.ZZNd,IF(MONTH(Monat.Tag1)=2,January!Monat.ZZNdUe,IF(MONTH(Monat.Tag1)=3,February!Monat.ZZNdUe,IF(MONTH(Monat.Tag1)=4,March!Monat.ZZNdUe,IF(MONTH(Monat.Tag1)=5,April!Monat.ZZNdUe,IF(MONTH(Monat.Tag1)=6,May!Monat.ZZNdUe,IF(MONTH(Monat.Tag1)=7,June!Monat.ZZNdUe,IF(MONTH(Monat.Tag1)=8,July!Monat.ZZNdUe,IF(MONTH(Monat.Tag1)=9,August!Monat.ZZNdUe,IF(MONTH(Monat.Tag1)=10,September!Monat.ZZNdUe,IF(MONTH(Monat.Tag1)=11,October!Monat.ZZNdUe,IF(MONTH(Monat.Tag1)=12,November!Monat.ZZNdUe,"")))))))))))),"")</f>
        <v>0</v>
      </c>
      <c r="AK79" s="209"/>
      <c r="AL79" s="246">
        <f ca="1">AG79+AJ79-AG71</f>
        <v>0</v>
      </c>
      <c r="AM79" s="246">
        <f ca="1">OFFSET(Jahr.ZZSNDSaldo,-13+MONTH(Monat.Tag1),0,1,1)</f>
        <v>0</v>
      </c>
      <c r="AN79" s="246">
        <f ca="1">Jahr.ZZSNDSaldo</f>
        <v>0</v>
      </c>
      <c r="AO79" s="119"/>
    </row>
    <row r="80" spans="1:41" s="38" customFormat="1" ht="15" customHeight="1" outlineLevel="1" x14ac:dyDescent="0.2">
      <c r="A80" s="212" t="s">
        <v>224</v>
      </c>
      <c r="B80" s="280" t="str">
        <f t="shared" ref="B80:AD80" si="26">IF(T.50_Vetsuisse,IF(OR(B$12=0,B$11=0,WEEKDAY(B$10,2)&gt;5),0,ROUND((MAX(0,T.Abendbis-MAX(B13,T.Abendab))-MAX(0,T.Abendbis-MAX(T.Abendab,B14))+(B13&gt;B14)*(1+T.Abendab-T.Abendbis)+MAX(0,T.Abendbis-MAX(B15,T.Abendab))-MAX(0,T.Abendbis-MAX(T.Abendab,B16))+(B15&gt;B16)*(1+T.Abendab-T.Abendbis)+MAX(0,T.Abendbis-MAX(B17,T.Abendab))-MAX(0,T.Abendbis-MAX(T.Abendab,B18))+(B17&gt;B18)*(1+T.Abendab-T.Abendbis)+MAX(0,T.Abendbis-MAX(B19,T.Abendab))-MAX(0,T.Abendbis-MAX(T.Abendab,B20))+(B19&gt;B20)*(1+T.Abendab-T.Abendbis)+MAX(0,T.Abendbis-MAX(B21,T.Abendab))-MAX(0,T.Abendbis-MAX(T.Abendab,B22))+(B21&gt;B22)*(1+T.Abendab-T.Abendbis))*1440,0)/1440),"")</f>
        <v/>
      </c>
      <c r="C80" s="280" t="str">
        <f t="shared" si="26"/>
        <v/>
      </c>
      <c r="D80" s="280" t="str">
        <f t="shared" si="26"/>
        <v/>
      </c>
      <c r="E80" s="280" t="str">
        <f t="shared" si="26"/>
        <v/>
      </c>
      <c r="F80" s="280" t="str">
        <f t="shared" si="26"/>
        <v/>
      </c>
      <c r="G80" s="280" t="str">
        <f t="shared" si="26"/>
        <v/>
      </c>
      <c r="H80" s="280" t="str">
        <f t="shared" si="26"/>
        <v/>
      </c>
      <c r="I80" s="280" t="str">
        <f t="shared" si="26"/>
        <v/>
      </c>
      <c r="J80" s="280" t="str">
        <f t="shared" si="26"/>
        <v/>
      </c>
      <c r="K80" s="280" t="str">
        <f t="shared" si="26"/>
        <v/>
      </c>
      <c r="L80" s="280" t="str">
        <f t="shared" si="26"/>
        <v/>
      </c>
      <c r="M80" s="280" t="str">
        <f t="shared" si="26"/>
        <v/>
      </c>
      <c r="N80" s="280" t="str">
        <f t="shared" si="26"/>
        <v/>
      </c>
      <c r="O80" s="280" t="str">
        <f t="shared" si="26"/>
        <v/>
      </c>
      <c r="P80" s="280" t="str">
        <f t="shared" si="26"/>
        <v/>
      </c>
      <c r="Q80" s="280" t="str">
        <f t="shared" si="26"/>
        <v/>
      </c>
      <c r="R80" s="280" t="str">
        <f t="shared" si="26"/>
        <v/>
      </c>
      <c r="S80" s="280" t="str">
        <f t="shared" si="26"/>
        <v/>
      </c>
      <c r="T80" s="280" t="str">
        <f t="shared" si="26"/>
        <v/>
      </c>
      <c r="U80" s="280" t="str">
        <f t="shared" si="26"/>
        <v/>
      </c>
      <c r="V80" s="280" t="str">
        <f t="shared" si="26"/>
        <v/>
      </c>
      <c r="W80" s="280" t="str">
        <f t="shared" si="26"/>
        <v/>
      </c>
      <c r="X80" s="280" t="str">
        <f t="shared" si="26"/>
        <v/>
      </c>
      <c r="Y80" s="280" t="str">
        <f t="shared" si="26"/>
        <v/>
      </c>
      <c r="Z80" s="280" t="str">
        <f t="shared" si="26"/>
        <v/>
      </c>
      <c r="AA80" s="280" t="str">
        <f t="shared" si="26"/>
        <v/>
      </c>
      <c r="AB80" s="280" t="str">
        <f t="shared" si="26"/>
        <v/>
      </c>
      <c r="AC80" s="280" t="str">
        <f t="shared" si="26"/>
        <v/>
      </c>
      <c r="AD80" s="280" t="str">
        <f t="shared" si="26"/>
        <v/>
      </c>
      <c r="AE80" s="205" t="str">
        <f>A80</f>
        <v>Evening work</v>
      </c>
      <c r="AF80" s="274"/>
      <c r="AG80" s="238">
        <f>SUM(B80:AD80)</f>
        <v>0</v>
      </c>
      <c r="AH80" s="261"/>
      <c r="AI80" s="224"/>
      <c r="AJ80" s="245">
        <f ca="1">IF(EB.Anwendung&lt;&gt;"",IF(MONTH(Monat.Tag1)=1,0,IF(MONTH(Monat.Tag1)=2,January!Monat.AAUeVM,IF(MONTH(Monat.Tag1)=3,February!Monat.AAUeVM,IF(MONTH(Monat.Tag1)=4,March!Monat.AAUeVM,IF(MONTH(Monat.Tag1)=5,April!Monat.AAUeVM,IF(MONTH(Monat.Tag1)=6,May!Monat.AAUeVM,IF(MONTH(Monat.Tag1)=7,June!Monat.AAUeVM,IF(MONTH(Monat.Tag1)=8,July!Monat.AAUeVM,IF(MONTH(Monat.Tag1)=9,August!Monat.AAUeVM,IF(MONTH(Monat.Tag1)=10,September!Monat.AAUeVM,IF(MONTH(Monat.Tag1)=11,October!Monat.AAUeVM,IF(MONTH(Monat.Tag1)=12,November!Monat.AAUeVM,"")))))))))))),"")</f>
        <v>0</v>
      </c>
      <c r="AK80" s="209"/>
      <c r="AL80" s="246">
        <f ca="1">AG80+AJ80</f>
        <v>0</v>
      </c>
      <c r="AM80" s="208"/>
      <c r="AN80" s="208"/>
      <c r="AO80" s="119"/>
    </row>
    <row r="81" spans="1:41" s="38" customFormat="1" ht="15" customHeight="1" outlineLevel="1" x14ac:dyDescent="0.2">
      <c r="A81" s="212" t="s">
        <v>89</v>
      </c>
      <c r="B81" s="280">
        <f t="shared" ref="B81:AD81" ca="1" si="27">IF(EB.Wochenarbeitszeit=50/24,"",IF(B$12=0,0,IF(OR(WEEKDAY(B$10,2)&gt;5,B$11=0),IF(NOT(B$34=INDEX(T.Pikett.Bereich,1)),1,0),IF(WEEKDAY(B$10,2)&lt;6,IF(AND(OR(B$34=INDEX(T.Pikett.Bereich,2),B$34=INDEX(T.Pikett.Bereich,3)),B$11=1),8/24,0))+IF(WEEKDAY(B$10,2)&lt;6,IF(AND(OR(B$34=INDEX(T.Pikett.Bereich,2),B$34=INDEX(T.Pikett.Bereich,3)),B$11=6/8.4),10/24,0))
+IF(WEEKDAY(B$10,2)&lt;6,IF(AND(OR(B$34=INDEX(T.Pikett.Bereich,2),B$34=INDEX(T.Pikett.Bereich,3)),B$11=0.5),0.5,0))
+IF(AND(B$34=INDEX(T.Pikett.Bereich,4),B$11=6/8.4),0.75,0)+IF(AND(B$34=INDEX(T.Pikett.Bereich,4),B$11=1),16/24,0)
+IF(AND(B$34=INDEX(T.Pikett.Bereich,4),B$11=0.5),20/24,0))))</f>
        <v>0</v>
      </c>
      <c r="C81" s="280">
        <f t="shared" ca="1" si="27"/>
        <v>0</v>
      </c>
      <c r="D81" s="280">
        <f t="shared" ca="1" si="27"/>
        <v>0</v>
      </c>
      <c r="E81" s="280">
        <f t="shared" ca="1" si="27"/>
        <v>0</v>
      </c>
      <c r="F81" s="280">
        <f t="shared" ca="1" si="27"/>
        <v>0</v>
      </c>
      <c r="G81" s="280">
        <f t="shared" ca="1" si="27"/>
        <v>0</v>
      </c>
      <c r="H81" s="280">
        <f t="shared" ca="1" si="27"/>
        <v>0</v>
      </c>
      <c r="I81" s="280">
        <f t="shared" ca="1" si="27"/>
        <v>0</v>
      </c>
      <c r="J81" s="280">
        <f t="shared" ca="1" si="27"/>
        <v>0</v>
      </c>
      <c r="K81" s="280">
        <f t="shared" ca="1" si="27"/>
        <v>0</v>
      </c>
      <c r="L81" s="280">
        <f t="shared" ca="1" si="27"/>
        <v>0</v>
      </c>
      <c r="M81" s="280">
        <f t="shared" ca="1" si="27"/>
        <v>0</v>
      </c>
      <c r="N81" s="280">
        <f t="shared" ca="1" si="27"/>
        <v>0</v>
      </c>
      <c r="O81" s="280">
        <f t="shared" ca="1" si="27"/>
        <v>0</v>
      </c>
      <c r="P81" s="280">
        <f t="shared" ca="1" si="27"/>
        <v>0</v>
      </c>
      <c r="Q81" s="280">
        <f t="shared" ca="1" si="27"/>
        <v>0</v>
      </c>
      <c r="R81" s="280">
        <f t="shared" ca="1" si="27"/>
        <v>0</v>
      </c>
      <c r="S81" s="280">
        <f t="shared" ca="1" si="27"/>
        <v>0</v>
      </c>
      <c r="T81" s="280">
        <f t="shared" ca="1" si="27"/>
        <v>0</v>
      </c>
      <c r="U81" s="280">
        <f t="shared" ca="1" si="27"/>
        <v>0</v>
      </c>
      <c r="V81" s="280">
        <f t="shared" ca="1" si="27"/>
        <v>0</v>
      </c>
      <c r="W81" s="280">
        <f t="shared" ca="1" si="27"/>
        <v>0</v>
      </c>
      <c r="X81" s="280">
        <f t="shared" ca="1" si="27"/>
        <v>0</v>
      </c>
      <c r="Y81" s="280">
        <f t="shared" ca="1" si="27"/>
        <v>0</v>
      </c>
      <c r="Z81" s="280">
        <f t="shared" ca="1" si="27"/>
        <v>0</v>
      </c>
      <c r="AA81" s="280">
        <f t="shared" ca="1" si="27"/>
        <v>0</v>
      </c>
      <c r="AB81" s="280">
        <f t="shared" ca="1" si="27"/>
        <v>0</v>
      </c>
      <c r="AC81" s="280">
        <f t="shared" ca="1" si="27"/>
        <v>0</v>
      </c>
      <c r="AD81" s="280">
        <f t="shared" ca="1" si="27"/>
        <v>0</v>
      </c>
      <c r="AE81" s="205" t="str">
        <f>A81</f>
        <v>On-call duty</v>
      </c>
      <c r="AF81" s="274"/>
      <c r="AG81" s="238">
        <f ca="1">SUM(B81:AD81)</f>
        <v>0</v>
      </c>
      <c r="AH81" s="261"/>
      <c r="AI81" s="224"/>
      <c r="AJ81" s="245">
        <f ca="1">IF(EB.Anwendung&lt;&gt;"",IF(MONTH(Monat.Tag1)=1,0,IF(MONTH(Monat.Tag1)=2,January!Monat.BDUeVM,IF(MONTH(Monat.Tag1)=3,February!Monat.BDUeVM,IF(MONTH(Monat.Tag1)=4,March!Monat.BDUeVM,IF(MONTH(Monat.Tag1)=5,April!Monat.BDUeVM,IF(MONTH(Monat.Tag1)=6,May!Monat.BDUeVM,IF(MONTH(Monat.Tag1)=7,June!Monat.BDUeVM,IF(MONTH(Monat.Tag1)=8,July!Monat.BDUeVM,IF(MONTH(Monat.Tag1)=9,August!Monat.BDUeVM,IF(MONTH(Monat.Tag1)=10,September!Monat.BDUeVM,IF(MONTH(Monat.Tag1)=11,October!Monat.BDUeVM,IF(MONTH(Monat.Tag1)=12,November!Monat.BDUeVM,"")))))))))))),"")</f>
        <v>0</v>
      </c>
      <c r="AK81" s="209"/>
      <c r="AL81" s="246">
        <f ca="1">AG81+AJ81</f>
        <v>0</v>
      </c>
      <c r="AM81" s="208"/>
      <c r="AN81" s="208"/>
      <c r="AO81" s="119"/>
    </row>
    <row r="82" spans="1:41" s="38" customFormat="1" ht="15" customHeight="1" outlineLevel="1" x14ac:dyDescent="0.2">
      <c r="A82" s="212" t="s">
        <v>90</v>
      </c>
      <c r="B82" s="280" t="str">
        <f t="shared" ref="B82:AD82" ca="1" si="28">IF(B$12=0,"",IF(OR(WEEKDAY(B$10,2)&gt;5,B$11=0),
IF(T.50_NoVetsuisse,B45,
IF(T.50_Vetsuisse,IF(B23-B73=0,"",B23-B73),
IF(T.ServiceCenterIrchel,B23,
B60))),))</f>
        <v/>
      </c>
      <c r="C82" s="280" t="str">
        <f t="shared" ca="1" si="28"/>
        <v/>
      </c>
      <c r="D82" s="281">
        <f t="shared" ca="1" si="28"/>
        <v>0</v>
      </c>
      <c r="E82" s="280">
        <f t="shared" ca="1" si="28"/>
        <v>0</v>
      </c>
      <c r="F82" s="281">
        <f t="shared" ca="1" si="28"/>
        <v>0</v>
      </c>
      <c r="G82" s="281">
        <f t="shared" ca="1" si="28"/>
        <v>0</v>
      </c>
      <c r="H82" s="281">
        <f t="shared" ca="1" si="28"/>
        <v>0</v>
      </c>
      <c r="I82" s="281" t="str">
        <f t="shared" ca="1" si="28"/>
        <v/>
      </c>
      <c r="J82" s="280" t="str">
        <f t="shared" ca="1" si="28"/>
        <v/>
      </c>
      <c r="K82" s="281">
        <f t="shared" ca="1" si="28"/>
        <v>0</v>
      </c>
      <c r="L82" s="280">
        <f t="shared" ca="1" si="28"/>
        <v>0</v>
      </c>
      <c r="M82" s="281">
        <f t="shared" ca="1" si="28"/>
        <v>0</v>
      </c>
      <c r="N82" s="281">
        <f t="shared" ca="1" si="28"/>
        <v>0</v>
      </c>
      <c r="O82" s="281">
        <f t="shared" ca="1" si="28"/>
        <v>0</v>
      </c>
      <c r="P82" s="281" t="str">
        <f t="shared" ca="1" si="28"/>
        <v/>
      </c>
      <c r="Q82" s="280" t="str">
        <f t="shared" ca="1" si="28"/>
        <v/>
      </c>
      <c r="R82" s="281">
        <f t="shared" ca="1" si="28"/>
        <v>0</v>
      </c>
      <c r="S82" s="280">
        <f t="shared" ca="1" si="28"/>
        <v>0</v>
      </c>
      <c r="T82" s="280">
        <f t="shared" ca="1" si="28"/>
        <v>0</v>
      </c>
      <c r="U82" s="281">
        <f t="shared" ca="1" si="28"/>
        <v>0</v>
      </c>
      <c r="V82" s="281">
        <f t="shared" ca="1" si="28"/>
        <v>0</v>
      </c>
      <c r="W82" s="281" t="str">
        <f t="shared" ca="1" si="28"/>
        <v/>
      </c>
      <c r="X82" s="280" t="str">
        <f t="shared" ca="1" si="28"/>
        <v/>
      </c>
      <c r="Y82" s="281">
        <f t="shared" ca="1" si="28"/>
        <v>0</v>
      </c>
      <c r="Z82" s="282">
        <f t="shared" ca="1" si="28"/>
        <v>0</v>
      </c>
      <c r="AA82" s="281">
        <f t="shared" ca="1" si="28"/>
        <v>0</v>
      </c>
      <c r="AB82" s="281">
        <f t="shared" ca="1" si="28"/>
        <v>0</v>
      </c>
      <c r="AC82" s="281">
        <f t="shared" ca="1" si="28"/>
        <v>0</v>
      </c>
      <c r="AD82" s="281" t="str">
        <f t="shared" ca="1" si="28"/>
        <v/>
      </c>
      <c r="AE82" s="205" t="str">
        <f>A82</f>
        <v>Saturday/Sunday shift</v>
      </c>
      <c r="AF82" s="228"/>
      <c r="AG82" s="238">
        <f ca="1">SUM(B82:AD82)</f>
        <v>0</v>
      </c>
      <c r="AH82" s="229">
        <f ca="1">IFERROR(SUMPRODUCT((B82:AD82&gt;0)*(B82:AD82&lt;&gt;"")),0)</f>
        <v>0</v>
      </c>
      <c r="AI82" s="224"/>
      <c r="AJ82" s="245">
        <f ca="1">IF(EB.Anwendung&lt;&gt;"",IF(MONTH(Monat.Tag1)=1,0,IF(MONTH(Monat.Tag1)=2,January!Monat.SDUeVM,IF(MONTH(Monat.Tag1)=3,February!Monat.SDUeVM,IF(MONTH(Monat.Tag1)=4,March!Monat.SDUeVM,IF(MONTH(Monat.Tag1)=5,April!Monat.SDUeVM,IF(MONTH(Monat.Tag1)=6,May!Monat.SDUeVM,IF(MONTH(Monat.Tag1)=7,June!Monat.SDUeVM,IF(MONTH(Monat.Tag1)=8,July!Monat.SDUeVM,IF(MONTH(Monat.Tag1)=9,August!Monat.SDUeVM,IF(MONTH(Monat.Tag1)=10,September!Monat.SDUeVM,IF(MONTH(Monat.Tag1)=11,October!Monat.SDUeVM,IF(MONTH(Monat.Tag1)=12,November!Monat.SDUeVM,"")))))))))))),"")</f>
        <v>0</v>
      </c>
      <c r="AK82" s="209"/>
      <c r="AL82" s="246">
        <f ca="1">AG82+AJ82</f>
        <v>0</v>
      </c>
      <c r="AM82" s="208"/>
      <c r="AN82" s="208"/>
      <c r="AO82" s="119"/>
    </row>
    <row r="83" spans="1:41" s="38" customFormat="1" ht="11.25" customHeight="1" outlineLevel="1" x14ac:dyDescent="0.2">
      <c r="A83" s="220"/>
      <c r="B83" s="226"/>
      <c r="C83" s="226"/>
      <c r="D83" s="226"/>
      <c r="E83" s="226"/>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05"/>
      <c r="AF83" s="228"/>
      <c r="AG83" s="224"/>
      <c r="AH83" s="278"/>
      <c r="AI83" s="262"/>
      <c r="AJ83" s="262"/>
      <c r="AK83" s="209"/>
      <c r="AL83" s="279"/>
      <c r="AM83" s="283"/>
      <c r="AN83" s="283"/>
      <c r="AO83" s="119"/>
    </row>
    <row r="84" spans="1:41" s="38" customFormat="1" ht="15" customHeight="1" x14ac:dyDescent="0.2">
      <c r="A84" s="212" t="s">
        <v>80</v>
      </c>
      <c r="B84" s="40"/>
      <c r="C84" s="40"/>
      <c r="D84" s="40"/>
      <c r="E84" s="40"/>
      <c r="F84" s="40"/>
      <c r="G84" s="40"/>
      <c r="H84" s="40"/>
      <c r="I84" s="40"/>
      <c r="J84" s="40"/>
      <c r="K84" s="40"/>
      <c r="L84" s="40"/>
      <c r="M84" s="40"/>
      <c r="N84" s="40"/>
      <c r="O84" s="40"/>
      <c r="P84" s="40"/>
      <c r="Q84" s="40"/>
      <c r="R84" s="40"/>
      <c r="S84" s="40"/>
      <c r="T84" s="40"/>
      <c r="U84" s="40"/>
      <c r="V84" s="40"/>
      <c r="W84" s="40"/>
      <c r="X84" s="40"/>
      <c r="Y84" s="40"/>
      <c r="Z84" s="47"/>
      <c r="AA84" s="40"/>
      <c r="AB84" s="40"/>
      <c r="AC84" s="40"/>
      <c r="AD84" s="40"/>
      <c r="AE84" s="205" t="str">
        <f>A84 &amp; IFERROR(IF(AND(MONTH(Monat.Tag1)=6,EB.Jahr&gt;2020),IF(SUM(Jahresabrechnung!AC15:AC20)&lt;EB.FerienBer,IF(EB.Sprache="EN"," (Balance PY "," (Saldo VJ ") &amp; " &gt; 0!)",""),""),"")</f>
        <v>Vacation</v>
      </c>
      <c r="AF84" s="218"/>
      <c r="AG84" s="238">
        <f>SUM(B84:AD84)</f>
        <v>0</v>
      </c>
      <c r="AH84" s="261"/>
      <c r="AI84" s="245">
        <f ca="1">OFFSET(EB.MFAStd.Knoten,MONTH(Monat.Tag1),0,1,1)</f>
        <v>0</v>
      </c>
      <c r="AJ84" s="245">
        <f ca="1">IF(EB.Anwendung&lt;&gt;"",IF(MONTH(Monat.Tag1)=1,EB.FerienBer,IF(MONTH(Monat.Tag1)=2,January!Monat.FerienUeVM,IF(MONTH(Monat.Tag1)=3,February!Monat.FerienUeVM,IF(MONTH(Monat.Tag1)=4,March!Monat.FerienUeVM,IF(MONTH(Monat.Tag1)=5,April!Monat.FerienUeVM,IF(MONTH(Monat.Tag1)=6,May!Monat.FerienUeVM,IF(MONTH(Monat.Tag1)=7,June!Monat.FerienUeVM,IF(MONTH(Monat.Tag1)=8,July!Monat.FerienUeVM,IF(MONTH(Monat.Tag1)=9,August!Monat.FerienUeVM,IF(MONTH(Monat.Tag1)=10,September!Monat.FerienUeVM,IF(MONTH(Monat.Tag1)=11,October!Monat.FerienUeVM,IF(MONTH(Monat.Tag1)=12,November!Monat.FerienUeVM,"")))))))))))),"")</f>
        <v>0</v>
      </c>
      <c r="AK84" s="209"/>
      <c r="AL84" s="246">
        <f ca="1">ROUND(IF(AF85="+",(AI84+AJ84-Monat.Ferien.Total+AG85),(AI84+AJ84-Monat.Ferien.Total-AG85))*1440,0)/1440</f>
        <v>0</v>
      </c>
      <c r="AM84" s="246">
        <f ca="1">SUM(Jahresabrechnung!AC12:AC13)-SUM(OFFSET(Jahresabrechnung!AC15,0,0,MONTH(Monat.Tag1),1))</f>
        <v>0</v>
      </c>
      <c r="AN84" s="246">
        <f ca="1">J.FerienUE.Total</f>
        <v>0</v>
      </c>
      <c r="AO84" s="119"/>
    </row>
    <row r="85" spans="1:41" s="38" customFormat="1" ht="15" customHeight="1" x14ac:dyDescent="0.2">
      <c r="A85" s="220"/>
      <c r="B85" s="437">
        <f t="shared" ref="B85:AD85" ca="1" si="29">IF(DAY(B$10)=1,Monat.Ferien.JS+Monat.Ferien.Total-B84,A85-B84)</f>
        <v>0</v>
      </c>
      <c r="C85" s="437">
        <f t="shared" ca="1" si="29"/>
        <v>0</v>
      </c>
      <c r="D85" s="437">
        <f t="shared" ca="1" si="29"/>
        <v>0</v>
      </c>
      <c r="E85" s="437">
        <f t="shared" ca="1" si="29"/>
        <v>0</v>
      </c>
      <c r="F85" s="437">
        <f t="shared" ca="1" si="29"/>
        <v>0</v>
      </c>
      <c r="G85" s="437">
        <f t="shared" ca="1" si="29"/>
        <v>0</v>
      </c>
      <c r="H85" s="437">
        <f t="shared" ca="1" si="29"/>
        <v>0</v>
      </c>
      <c r="I85" s="437">
        <f t="shared" ca="1" si="29"/>
        <v>0</v>
      </c>
      <c r="J85" s="437">
        <f t="shared" ca="1" si="29"/>
        <v>0</v>
      </c>
      <c r="K85" s="437">
        <f t="shared" ca="1" si="29"/>
        <v>0</v>
      </c>
      <c r="L85" s="437">
        <f t="shared" ca="1" si="29"/>
        <v>0</v>
      </c>
      <c r="M85" s="437">
        <f t="shared" ca="1" si="29"/>
        <v>0</v>
      </c>
      <c r="N85" s="437">
        <f t="shared" ca="1" si="29"/>
        <v>0</v>
      </c>
      <c r="O85" s="437">
        <f t="shared" ca="1" si="29"/>
        <v>0</v>
      </c>
      <c r="P85" s="437">
        <f t="shared" ca="1" si="29"/>
        <v>0</v>
      </c>
      <c r="Q85" s="437">
        <f t="shared" ca="1" si="29"/>
        <v>0</v>
      </c>
      <c r="R85" s="437">
        <f t="shared" ca="1" si="29"/>
        <v>0</v>
      </c>
      <c r="S85" s="437">
        <f t="shared" ca="1" si="29"/>
        <v>0</v>
      </c>
      <c r="T85" s="437">
        <f t="shared" ca="1" si="29"/>
        <v>0</v>
      </c>
      <c r="U85" s="437">
        <f t="shared" ca="1" si="29"/>
        <v>0</v>
      </c>
      <c r="V85" s="437">
        <f t="shared" ca="1" si="29"/>
        <v>0</v>
      </c>
      <c r="W85" s="437">
        <f t="shared" ca="1" si="29"/>
        <v>0</v>
      </c>
      <c r="X85" s="437">
        <f t="shared" ca="1" si="29"/>
        <v>0</v>
      </c>
      <c r="Y85" s="437">
        <f t="shared" ca="1" si="29"/>
        <v>0</v>
      </c>
      <c r="Z85" s="437">
        <f t="shared" ca="1" si="29"/>
        <v>0</v>
      </c>
      <c r="AA85" s="437">
        <f t="shared" ca="1" si="29"/>
        <v>0</v>
      </c>
      <c r="AB85" s="437">
        <f t="shared" ca="1" si="29"/>
        <v>0</v>
      </c>
      <c r="AC85" s="437">
        <f t="shared" ca="1" si="29"/>
        <v>0</v>
      </c>
      <c r="AD85" s="437">
        <f t="shared" ca="1" si="29"/>
        <v>0</v>
      </c>
      <c r="AE85" s="212" t="s">
        <v>92</v>
      </c>
      <c r="AF85" s="45" t="s">
        <v>2</v>
      </c>
      <c r="AG85" s="48"/>
      <c r="AH85" s="270"/>
      <c r="AI85" s="209"/>
      <c r="AJ85" s="209"/>
      <c r="AK85" s="209"/>
      <c r="AL85" s="208"/>
      <c r="AM85" s="284"/>
      <c r="AN85" s="284"/>
      <c r="AO85" s="119"/>
    </row>
    <row r="86" spans="1:41" s="38" customFormat="1" ht="15" customHeight="1" x14ac:dyDescent="0.2">
      <c r="A86" s="212" t="s">
        <v>81</v>
      </c>
      <c r="B86" s="40"/>
      <c r="C86" s="40"/>
      <c r="D86" s="40"/>
      <c r="E86" s="27"/>
      <c r="F86" s="40"/>
      <c r="G86" s="40"/>
      <c r="H86" s="40"/>
      <c r="I86" s="40"/>
      <c r="J86" s="27"/>
      <c r="K86" s="40"/>
      <c r="L86" s="27"/>
      <c r="M86" s="40"/>
      <c r="N86" s="40"/>
      <c r="O86" s="40"/>
      <c r="P86" s="40"/>
      <c r="Q86" s="27"/>
      <c r="R86" s="40"/>
      <c r="S86" s="27"/>
      <c r="T86" s="27"/>
      <c r="U86" s="40"/>
      <c r="V86" s="40"/>
      <c r="W86" s="40"/>
      <c r="X86" s="27"/>
      <c r="Y86" s="40"/>
      <c r="Z86" s="39"/>
      <c r="AA86" s="40"/>
      <c r="AB86" s="40"/>
      <c r="AC86" s="40"/>
      <c r="AD86" s="40"/>
      <c r="AE86" s="205" t="str">
        <f t="shared" ref="AE86:AE95" si="30">A86</f>
        <v>Consultation</v>
      </c>
      <c r="AF86" s="218"/>
      <c r="AG86" s="238">
        <f t="shared" ref="AG86:AG95" si="31">SUM(B86:AD86)</f>
        <v>0</v>
      </c>
      <c r="AH86" s="261"/>
      <c r="AI86" s="262"/>
      <c r="AJ86" s="245">
        <f ca="1">IF(EB.Anwendung&lt;&gt;"",IF(MONTH(Monat.Tag1)=1,0,IF(MONTH(Monat.Tag1)=2,January!Monat.ArztUeVM,IF(MONTH(Monat.Tag1)=3,February!Monat.ArztUeVM,IF(MONTH(Monat.Tag1)=4,March!Monat.ArztUeVM,IF(MONTH(Monat.Tag1)=5,April!Monat.ArztUeVM,IF(MONTH(Monat.Tag1)=6,May!Monat.ArztUeVM,IF(MONTH(Monat.Tag1)=7,June!Monat.ArztUeVM,IF(MONTH(Monat.Tag1)=8,July!Monat.ArztUeVM,IF(MONTH(Monat.Tag1)=9,August!Monat.ArztUeVM,IF(MONTH(Monat.Tag1)=10,September!Monat.ArztUeVM,IF(MONTH(Monat.Tag1)=11,October!Monat.ArztUeVM,IF(MONTH(Monat.Tag1)=12,November!Monat.ArztUeVM,"")))))))))))),"")</f>
        <v>0</v>
      </c>
      <c r="AK86" s="209"/>
      <c r="AL86" s="246">
        <f t="shared" ref="AL86:AL94" ca="1" si="32">AG86+AJ86</f>
        <v>0</v>
      </c>
      <c r="AM86" s="208"/>
      <c r="AN86" s="208"/>
      <c r="AO86" s="119"/>
    </row>
    <row r="87" spans="1:41" s="38" customFormat="1" ht="15" customHeight="1" x14ac:dyDescent="0.2">
      <c r="A87" s="212" t="s">
        <v>82</v>
      </c>
      <c r="B87" s="40"/>
      <c r="C87" s="40"/>
      <c r="D87" s="40"/>
      <c r="E87" s="27"/>
      <c r="F87" s="40"/>
      <c r="G87" s="40"/>
      <c r="H87" s="40"/>
      <c r="I87" s="40"/>
      <c r="J87" s="27"/>
      <c r="K87" s="40"/>
      <c r="L87" s="27"/>
      <c r="M87" s="40"/>
      <c r="N87" s="40"/>
      <c r="O87" s="40"/>
      <c r="P87" s="40"/>
      <c r="Q87" s="27"/>
      <c r="R87" s="40"/>
      <c r="S87" s="27"/>
      <c r="T87" s="27"/>
      <c r="U87" s="40"/>
      <c r="V87" s="40"/>
      <c r="W87" s="40"/>
      <c r="X87" s="27"/>
      <c r="Y87" s="40"/>
      <c r="Z87" s="39"/>
      <c r="AA87" s="40"/>
      <c r="AB87" s="40"/>
      <c r="AC87" s="40"/>
      <c r="AD87" s="40"/>
      <c r="AE87" s="205" t="str">
        <f t="shared" si="30"/>
        <v>Illness</v>
      </c>
      <c r="AF87" s="218"/>
      <c r="AG87" s="238">
        <f t="shared" si="31"/>
        <v>0</v>
      </c>
      <c r="AH87" s="261"/>
      <c r="AI87" s="262"/>
      <c r="AJ87" s="245">
        <f ca="1">IF(EB.Anwendung&lt;&gt;"",IF(MONTH(Monat.Tag1)=1,0,IF(MONTH(Monat.Tag1)=2,January!Monat.KrankUeVM,IF(MONTH(Monat.Tag1)=3,February!Monat.KrankUeVM,IF(MONTH(Monat.Tag1)=4,March!Monat.KrankUeVM,IF(MONTH(Monat.Tag1)=5,April!Monat.KrankUeVM,IF(MONTH(Monat.Tag1)=6,May!Monat.KrankUeVM,IF(MONTH(Monat.Tag1)=7,June!Monat.KrankUeVM,IF(MONTH(Monat.Tag1)=8,July!Monat.KrankUeVM,IF(MONTH(Monat.Tag1)=9,August!Monat.KrankUeVM,IF(MONTH(Monat.Tag1)=10,September!Monat.KrankUeVM,IF(MONTH(Monat.Tag1)=11,October!Monat.KrankUeVM,IF(MONTH(Monat.Tag1)=12,November!Monat.KrankUeVM,"")))))))))))),"")</f>
        <v>0</v>
      </c>
      <c r="AK87" s="209"/>
      <c r="AL87" s="246">
        <f t="shared" ca="1" si="32"/>
        <v>0</v>
      </c>
      <c r="AM87" s="208"/>
      <c r="AN87" s="208"/>
      <c r="AO87" s="119"/>
    </row>
    <row r="88" spans="1:41" s="38" customFormat="1" ht="15" customHeight="1" x14ac:dyDescent="0.2">
      <c r="A88" s="212" t="s">
        <v>83</v>
      </c>
      <c r="B88" s="40"/>
      <c r="C88" s="40"/>
      <c r="D88" s="40"/>
      <c r="E88" s="27"/>
      <c r="F88" s="40"/>
      <c r="G88" s="40"/>
      <c r="H88" s="40"/>
      <c r="I88" s="40"/>
      <c r="J88" s="27"/>
      <c r="K88" s="40"/>
      <c r="L88" s="27"/>
      <c r="M88" s="40"/>
      <c r="N88" s="40"/>
      <c r="O88" s="40"/>
      <c r="P88" s="40"/>
      <c r="Q88" s="27"/>
      <c r="R88" s="40"/>
      <c r="S88" s="27"/>
      <c r="T88" s="27"/>
      <c r="U88" s="40"/>
      <c r="V88" s="40"/>
      <c r="W88" s="40"/>
      <c r="X88" s="27"/>
      <c r="Y88" s="40"/>
      <c r="Z88" s="39"/>
      <c r="AA88" s="40"/>
      <c r="AB88" s="40"/>
      <c r="AC88" s="40"/>
      <c r="AD88" s="40"/>
      <c r="AE88" s="205" t="str">
        <f t="shared" si="30"/>
        <v>Work-related accident</v>
      </c>
      <c r="AF88" s="218"/>
      <c r="AG88" s="238">
        <f t="shared" si="31"/>
        <v>0</v>
      </c>
      <c r="AH88" s="261"/>
      <c r="AI88" s="262"/>
      <c r="AJ88" s="245">
        <f ca="1">IF(EB.Anwendung&lt;&gt;"",IF(MONTH(Monat.Tag1)=1,0,IF(MONTH(Monat.Tag1)=2,January!Monat.BUUeVM,IF(MONTH(Monat.Tag1)=3,February!Monat.BUUeVM,IF(MONTH(Monat.Tag1)=4,March!Monat.BUUeVM,IF(MONTH(Monat.Tag1)=5,April!Monat.BUUeVM,IF(MONTH(Monat.Tag1)=6,May!Monat.BUUeVM,IF(MONTH(Monat.Tag1)=7,June!Monat.BUUeVM,IF(MONTH(Monat.Tag1)=8,July!Monat.BUUeVM,IF(MONTH(Monat.Tag1)=9,August!Monat.BUUeVM,IF(MONTH(Monat.Tag1)=10,September!Monat.BUUeVM,IF(MONTH(Monat.Tag1)=11,October!Monat.BUUeVM,IF(MONTH(Monat.Tag1)=12,November!Monat.BUUeVM,"")))))))))))),"")</f>
        <v>0</v>
      </c>
      <c r="AK88" s="209"/>
      <c r="AL88" s="246">
        <f t="shared" ca="1" si="32"/>
        <v>0</v>
      </c>
      <c r="AM88" s="208"/>
      <c r="AN88" s="208"/>
      <c r="AO88" s="119"/>
    </row>
    <row r="89" spans="1:41" s="38" customFormat="1" ht="15" customHeight="1" x14ac:dyDescent="0.2">
      <c r="A89" s="212" t="s">
        <v>240</v>
      </c>
      <c r="B89" s="40"/>
      <c r="C89" s="40"/>
      <c r="D89" s="40"/>
      <c r="E89" s="27"/>
      <c r="F89" s="40"/>
      <c r="G89" s="40"/>
      <c r="H89" s="40"/>
      <c r="I89" s="40"/>
      <c r="J89" s="27"/>
      <c r="K89" s="40"/>
      <c r="L89" s="27"/>
      <c r="M89" s="40"/>
      <c r="N89" s="40"/>
      <c r="O89" s="40"/>
      <c r="P89" s="40"/>
      <c r="Q89" s="27"/>
      <c r="R89" s="40"/>
      <c r="S89" s="27"/>
      <c r="T89" s="27"/>
      <c r="U89" s="40"/>
      <c r="V89" s="40"/>
      <c r="W89" s="40"/>
      <c r="X89" s="27"/>
      <c r="Y89" s="40"/>
      <c r="Z89" s="39"/>
      <c r="AA89" s="40"/>
      <c r="AB89" s="40"/>
      <c r="AC89" s="40"/>
      <c r="AD89" s="40"/>
      <c r="AE89" s="205" t="str">
        <f t="shared" si="30"/>
        <v>Non-work-related accident</v>
      </c>
      <c r="AF89" s="218"/>
      <c r="AG89" s="238">
        <f t="shared" si="31"/>
        <v>0</v>
      </c>
      <c r="AH89" s="261"/>
      <c r="AI89" s="262"/>
      <c r="AJ89" s="245">
        <f ca="1">IF(EB.Anwendung&lt;&gt;"",IF(MONTH(Monat.Tag1)=1,0,IF(MONTH(Monat.Tag1)=2,January!Monat.NBUUeVM,IF(MONTH(Monat.Tag1)=3,February!Monat.NBUUeVM,IF(MONTH(Monat.Tag1)=4,March!Monat.NBUUeVM,IF(MONTH(Monat.Tag1)=5,April!Monat.NBUUeVM,IF(MONTH(Monat.Tag1)=6,May!Monat.NBUUeVM,IF(MONTH(Monat.Tag1)=7,June!Monat.NBUUeVM,IF(MONTH(Monat.Tag1)=8,July!Monat.NBUUeVM,IF(MONTH(Monat.Tag1)=9,August!Monat.NBUUeVM,IF(MONTH(Monat.Tag1)=10,September!Monat.NBUUeVM,IF(MONTH(Monat.Tag1)=11,October!Monat.NBUUeVM,IF(MONTH(Monat.Tag1)=12,November!Monat.NBUUeVM,"")))))))))))),"")</f>
        <v>0</v>
      </c>
      <c r="AK89" s="209"/>
      <c r="AL89" s="246">
        <f t="shared" ca="1" si="32"/>
        <v>0</v>
      </c>
      <c r="AM89" s="208"/>
      <c r="AN89" s="208"/>
      <c r="AO89" s="119"/>
    </row>
    <row r="90" spans="1:41" s="38" customFormat="1" ht="15" customHeight="1" x14ac:dyDescent="0.2">
      <c r="A90" s="212" t="s">
        <v>84</v>
      </c>
      <c r="B90" s="40"/>
      <c r="C90" s="40"/>
      <c r="D90" s="40"/>
      <c r="E90" s="27"/>
      <c r="F90" s="40"/>
      <c r="G90" s="40"/>
      <c r="H90" s="40"/>
      <c r="I90" s="40"/>
      <c r="J90" s="27"/>
      <c r="K90" s="40"/>
      <c r="L90" s="27"/>
      <c r="M90" s="40"/>
      <c r="N90" s="40"/>
      <c r="O90" s="40"/>
      <c r="P90" s="40"/>
      <c r="Q90" s="27"/>
      <c r="R90" s="40"/>
      <c r="S90" s="27"/>
      <c r="T90" s="27"/>
      <c r="U90" s="40"/>
      <c r="V90" s="40"/>
      <c r="W90" s="40"/>
      <c r="X90" s="27"/>
      <c r="Y90" s="40"/>
      <c r="Z90" s="39"/>
      <c r="AA90" s="40"/>
      <c r="AB90" s="40"/>
      <c r="AC90" s="40"/>
      <c r="AD90" s="40"/>
      <c r="AE90" s="205" t="str">
        <f t="shared" si="30"/>
        <v>Military/civilian service</v>
      </c>
      <c r="AF90" s="218"/>
      <c r="AG90" s="238">
        <f t="shared" si="31"/>
        <v>0</v>
      </c>
      <c r="AH90" s="261"/>
      <c r="AI90" s="262"/>
      <c r="AJ90" s="245">
        <f ca="1">IF(EB.Anwendung&lt;&gt;"",IF(MONTH(Monat.Tag1)=1,0,IF(MONTH(Monat.Tag1)=2,January!Monat.MZSUeVM,IF(MONTH(Monat.Tag1)=3,February!Monat.MZSUeVM,IF(MONTH(Monat.Tag1)=4,March!Monat.MZSUeVM,IF(MONTH(Monat.Tag1)=5,April!Monat.MZSUeVM,IF(MONTH(Monat.Tag1)=6,May!Monat.MZSUeVM,IF(MONTH(Monat.Tag1)=7,June!Monat.MZSUeVM,IF(MONTH(Monat.Tag1)=8,July!Monat.MZSUeVM,IF(MONTH(Monat.Tag1)=9,August!Monat.MZSUeVM,IF(MONTH(Monat.Tag1)=10,September!Monat.MZSUeVM,IF(MONTH(Monat.Tag1)=11,October!Monat.MZSUeVM,IF(MONTH(Monat.Tag1)=12,November!Monat.MZSUeVM,"")))))))))))),"")</f>
        <v>0</v>
      </c>
      <c r="AK90" s="209"/>
      <c r="AL90" s="246">
        <f t="shared" ca="1" si="32"/>
        <v>0</v>
      </c>
      <c r="AM90" s="208"/>
      <c r="AN90" s="208"/>
      <c r="AO90" s="119"/>
    </row>
    <row r="91" spans="1:41" s="38" customFormat="1" ht="15" customHeight="1" x14ac:dyDescent="0.2">
      <c r="A91" s="212" t="s">
        <v>85</v>
      </c>
      <c r="B91" s="40"/>
      <c r="C91" s="40"/>
      <c r="D91" s="40"/>
      <c r="E91" s="27"/>
      <c r="F91" s="40"/>
      <c r="G91" s="40"/>
      <c r="H91" s="40"/>
      <c r="I91" s="40"/>
      <c r="J91" s="27"/>
      <c r="K91" s="40"/>
      <c r="L91" s="27"/>
      <c r="M91" s="40"/>
      <c r="N91" s="40"/>
      <c r="O91" s="40"/>
      <c r="P91" s="40"/>
      <c r="Q91" s="27"/>
      <c r="R91" s="40"/>
      <c r="S91" s="27"/>
      <c r="T91" s="27"/>
      <c r="U91" s="40"/>
      <c r="V91" s="40"/>
      <c r="W91" s="40"/>
      <c r="X91" s="27"/>
      <c r="Y91" s="40"/>
      <c r="Z91" s="39"/>
      <c r="AA91" s="40"/>
      <c r="AB91" s="40"/>
      <c r="AC91" s="40"/>
      <c r="AD91" s="40"/>
      <c r="AE91" s="205" t="str">
        <f t="shared" si="30"/>
        <v>Continuing education</v>
      </c>
      <c r="AF91" s="218"/>
      <c r="AG91" s="238">
        <f t="shared" si="31"/>
        <v>0</v>
      </c>
      <c r="AH91" s="261"/>
      <c r="AI91" s="262"/>
      <c r="AJ91" s="245">
        <f ca="1">IF(EB.Anwendung&lt;&gt;"",IF(MONTH(Monat.Tag1)=1,0,IF(MONTH(Monat.Tag1)=2,January!Monat.WBUeVM,IF(MONTH(Monat.Tag1)=3,February!Monat.WBUeVM,IF(MONTH(Monat.Tag1)=4,March!Monat.WBUeVM,IF(MONTH(Monat.Tag1)=5,April!Monat.WBUeVM,IF(MONTH(Monat.Tag1)=6,May!Monat.WBUeVM,IF(MONTH(Monat.Tag1)=7,June!Monat.WBUeVM,IF(MONTH(Monat.Tag1)=8,July!Monat.WBUeVM,IF(MONTH(Monat.Tag1)=9,August!Monat.WBUeVM,IF(MONTH(Monat.Tag1)=10,September!Monat.WBUeVM,IF(MONTH(Monat.Tag1)=11,October!Monat.WBUeVM,IF(MONTH(Monat.Tag1)=12,November!Monat.WBUeVM,"")))))))))))),"")</f>
        <v>0</v>
      </c>
      <c r="AK91" s="209"/>
      <c r="AL91" s="246">
        <f t="shared" ca="1" si="32"/>
        <v>0</v>
      </c>
      <c r="AM91" s="208"/>
      <c r="AN91" s="208"/>
      <c r="AO91" s="119"/>
    </row>
    <row r="92" spans="1:41" s="38" customFormat="1" ht="15" customHeight="1" x14ac:dyDescent="0.2">
      <c r="A92" s="212" t="s">
        <v>86</v>
      </c>
      <c r="B92" s="40"/>
      <c r="C92" s="40"/>
      <c r="D92" s="40"/>
      <c r="E92" s="27"/>
      <c r="F92" s="40"/>
      <c r="G92" s="40"/>
      <c r="H92" s="40"/>
      <c r="I92" s="40"/>
      <c r="J92" s="27"/>
      <c r="K92" s="40"/>
      <c r="L92" s="27"/>
      <c r="M92" s="40"/>
      <c r="N92" s="40"/>
      <c r="O92" s="40"/>
      <c r="P92" s="40"/>
      <c r="Q92" s="27"/>
      <c r="R92" s="40"/>
      <c r="S92" s="27"/>
      <c r="T92" s="27"/>
      <c r="U92" s="40"/>
      <c r="V92" s="40"/>
      <c r="W92" s="40"/>
      <c r="X92" s="27"/>
      <c r="Y92" s="40"/>
      <c r="Z92" s="39"/>
      <c r="AA92" s="40"/>
      <c r="AB92" s="40"/>
      <c r="AC92" s="40"/>
      <c r="AD92" s="40"/>
      <c r="AE92" s="205" t="str">
        <f t="shared" si="30"/>
        <v>Paid leave</v>
      </c>
      <c r="AF92" s="218"/>
      <c r="AG92" s="238">
        <f t="shared" si="31"/>
        <v>0</v>
      </c>
      <c r="AH92" s="261"/>
      <c r="AI92" s="262"/>
      <c r="AJ92" s="245">
        <f ca="1">IF(EB.Anwendung&lt;&gt;"",IF(MONTH(Monat.Tag1)=1,0,IF(MONTH(Monat.Tag1)=2,January!Monat.BesUrlaubUeVM,IF(MONTH(Monat.Tag1)=3,February!Monat.BesUrlaubUeVM,IF(MONTH(Monat.Tag1)=4,March!Monat.BesUrlaubUeVM,IF(MONTH(Monat.Tag1)=5,April!Monat.BesUrlaubUeVM,IF(MONTH(Monat.Tag1)=6,May!Monat.BesUrlaubUeVM,IF(MONTH(Monat.Tag1)=7,June!Monat.BesUrlaubUeVM,IF(MONTH(Monat.Tag1)=8,July!Monat.BesUrlaubUeVM,IF(MONTH(Monat.Tag1)=9,August!Monat.BesUrlaubUeVM,IF(MONTH(Monat.Tag1)=10,September!Monat.BesUrlaubUeVM,IF(MONTH(Monat.Tag1)=11,October!Monat.BesUrlaubUeVM,IF(MONTH(Monat.Tag1)=12,November!Monat.BesUrlaubUeVM,"")))))))))))),"")</f>
        <v>0</v>
      </c>
      <c r="AK92" s="209"/>
      <c r="AL92" s="246">
        <f t="shared" ca="1" si="32"/>
        <v>0</v>
      </c>
      <c r="AM92" s="208"/>
      <c r="AN92" s="208"/>
      <c r="AO92" s="119"/>
    </row>
    <row r="93" spans="1:41" s="38" customFormat="1" ht="15" customHeight="1" x14ac:dyDescent="0.2">
      <c r="A93" s="212" t="s">
        <v>87</v>
      </c>
      <c r="B93" s="40"/>
      <c r="C93" s="40"/>
      <c r="D93" s="40"/>
      <c r="E93" s="27"/>
      <c r="F93" s="40"/>
      <c r="G93" s="40"/>
      <c r="H93" s="40"/>
      <c r="I93" s="40"/>
      <c r="J93" s="27"/>
      <c r="K93" s="40"/>
      <c r="L93" s="27"/>
      <c r="M93" s="40"/>
      <c r="N93" s="40"/>
      <c r="O93" s="40"/>
      <c r="P93" s="40"/>
      <c r="Q93" s="27"/>
      <c r="R93" s="40"/>
      <c r="S93" s="27"/>
      <c r="T93" s="27"/>
      <c r="U93" s="40"/>
      <c r="V93" s="40"/>
      <c r="W93" s="40"/>
      <c r="X93" s="27"/>
      <c r="Y93" s="40"/>
      <c r="Z93" s="39"/>
      <c r="AA93" s="40"/>
      <c r="AB93" s="40"/>
      <c r="AC93" s="40"/>
      <c r="AD93" s="40"/>
      <c r="AE93" s="205" t="str">
        <f t="shared" si="30"/>
        <v>Unpaid leave</v>
      </c>
      <c r="AF93" s="218"/>
      <c r="AG93" s="238">
        <f t="shared" si="31"/>
        <v>0</v>
      </c>
      <c r="AH93" s="261"/>
      <c r="AI93" s="262"/>
      <c r="AJ93" s="245">
        <f ca="1">IF(EB.Anwendung&lt;&gt;"",IF(MONTH(Monat.Tag1)=1,0,IF(MONTH(Monat.Tag1)=2,January!Monat.UnbesUrlaubUeVM,IF(MONTH(Monat.Tag1)=3,February!Monat.UnbesUrlaubUeVM,IF(MONTH(Monat.Tag1)=4,March!Monat.UnbesUrlaubUeVM,IF(MONTH(Monat.Tag1)=5,April!Monat.UnbesUrlaubUeVM,IF(MONTH(Monat.Tag1)=6,May!Monat.UnbesUrlaubUeVM,IF(MONTH(Monat.Tag1)=7,June!Monat.UnbesUrlaubUeVM,IF(MONTH(Monat.Tag1)=8,July!Monat.UnbesUrlaubUeVM,IF(MONTH(Monat.Tag1)=9,August!Monat.UnbesUrlaubUeVM,IF(MONTH(Monat.Tag1)=10,September!Monat.UnbesUrlaubUeVM,IF(MONTH(Monat.Tag1)=11,October!Monat.UnbesUrlaubUeVM,IF(MONTH(Monat.Tag1)=12,November!Monat.UnbesUrlaubUeVM,"")))))))))))),"")</f>
        <v>0</v>
      </c>
      <c r="AK93" s="209"/>
      <c r="AL93" s="246">
        <f t="shared" ca="1" si="32"/>
        <v>0</v>
      </c>
      <c r="AM93" s="208"/>
      <c r="AN93" s="208"/>
      <c r="AO93" s="119"/>
    </row>
    <row r="94" spans="1:41" s="38" customFormat="1" ht="15" hidden="1" customHeight="1" outlineLevel="1" x14ac:dyDescent="0.2">
      <c r="A94" s="212" t="s">
        <v>120</v>
      </c>
      <c r="B94" s="40"/>
      <c r="C94" s="40"/>
      <c r="D94" s="40"/>
      <c r="E94" s="27"/>
      <c r="F94" s="40"/>
      <c r="G94" s="40"/>
      <c r="H94" s="40"/>
      <c r="I94" s="40"/>
      <c r="J94" s="27"/>
      <c r="K94" s="40"/>
      <c r="L94" s="27"/>
      <c r="M94" s="40"/>
      <c r="N94" s="40"/>
      <c r="O94" s="40"/>
      <c r="P94" s="40"/>
      <c r="Q94" s="27"/>
      <c r="R94" s="40"/>
      <c r="S94" s="27"/>
      <c r="T94" s="27"/>
      <c r="U94" s="40"/>
      <c r="V94" s="40"/>
      <c r="W94" s="40"/>
      <c r="X94" s="27"/>
      <c r="Y94" s="40"/>
      <c r="Z94" s="39"/>
      <c r="AA94" s="40"/>
      <c r="AB94" s="40"/>
      <c r="AC94" s="40"/>
      <c r="AD94" s="40"/>
      <c r="AE94" s="205" t="str">
        <f t="shared" si="30"/>
        <v>Secondary employment</v>
      </c>
      <c r="AF94" s="218"/>
      <c r="AG94" s="238">
        <f t="shared" si="31"/>
        <v>0</v>
      </c>
      <c r="AH94" s="261"/>
      <c r="AI94" s="262"/>
      <c r="AJ94" s="245">
        <f ca="1">IF(EB.Anwendung&lt;&gt;"",IF(MONTH(Monat.Tag1)=1,0,IF(MONTH(Monat.Tag1)=2,January!Monat.NBUeVM,IF(MONTH(Monat.Tag1)=3,February!Monat.NBUeVM,IF(MONTH(Monat.Tag1)=4,March!Monat.NBUeVM,IF(MONTH(Monat.Tag1)=5,April!Monat.NBUeVM,IF(MONTH(Monat.Tag1)=6,May!Monat.NBUeVM,IF(MONTH(Monat.Tag1)=7,June!Monat.NBUeVM,IF(MONTH(Monat.Tag1)=8,July!Monat.NBUeVM,IF(MONTH(Monat.Tag1)=9,August!Monat.NBUeVM,IF(MONTH(Monat.Tag1)=10,September!Monat.NBUeVM,IF(MONTH(Monat.Tag1)=11,October!Monat.NBUeVM,IF(MONTH(Monat.Tag1)=12,November!Monat.NBUeVM,"")))))))))))),"")</f>
        <v>0</v>
      </c>
      <c r="AK94" s="209"/>
      <c r="AL94" s="246">
        <f t="shared" ca="1" si="32"/>
        <v>0</v>
      </c>
      <c r="AM94" s="208"/>
      <c r="AN94" s="208"/>
      <c r="AO94" s="119"/>
    </row>
    <row r="95" spans="1:41" s="38" customFormat="1" ht="15" customHeight="1" collapsed="1" x14ac:dyDescent="0.2">
      <c r="A95" s="212" t="s">
        <v>56</v>
      </c>
      <c r="B95" s="40"/>
      <c r="C95" s="40"/>
      <c r="D95" s="40"/>
      <c r="E95" s="27"/>
      <c r="F95" s="40"/>
      <c r="G95" s="40"/>
      <c r="H95" s="40"/>
      <c r="I95" s="40"/>
      <c r="J95" s="27"/>
      <c r="K95" s="40"/>
      <c r="L95" s="27"/>
      <c r="M95" s="40"/>
      <c r="N95" s="40"/>
      <c r="O95" s="40"/>
      <c r="P95" s="40"/>
      <c r="Q95" s="27"/>
      <c r="R95" s="40"/>
      <c r="S95" s="27"/>
      <c r="T95" s="27"/>
      <c r="U95" s="40"/>
      <c r="V95" s="40"/>
      <c r="W95" s="40"/>
      <c r="X95" s="27"/>
      <c r="Y95" s="40"/>
      <c r="Z95" s="39"/>
      <c r="AA95" s="40"/>
      <c r="AB95" s="40"/>
      <c r="AC95" s="40"/>
      <c r="AD95" s="40"/>
      <c r="AE95" s="205" t="str">
        <f t="shared" si="30"/>
        <v>Seniority allowance</v>
      </c>
      <c r="AF95" s="218"/>
      <c r="AG95" s="238">
        <f t="shared" si="31"/>
        <v>0</v>
      </c>
      <c r="AH95" s="261"/>
      <c r="AI95" s="262"/>
      <c r="AJ95" s="245">
        <f ca="1">IF(EB.Anwendung&lt;&gt;"",IF(MONTH(Monat.Tag1)=1,EB.DAG,IF(MONTH(Monat.Tag1)=2,January!Monat.DAGUeVM,IF(MONTH(Monat.Tag1)=3,February!Monat.DAGUeVM,IF(MONTH(Monat.Tag1)=4,March!Monat.DAGUeVM,IF(MONTH(Monat.Tag1)=5,April!Monat.DAGUeVM,IF(MONTH(Monat.Tag1)=6,May!Monat.DAGUeVM,IF(MONTH(Monat.Tag1)=7,June!Monat.DAGUeVM,IF(MONTH(Monat.Tag1)=8,July!Monat.DAGUeVM,IF(MONTH(Monat.Tag1)=9,August!Monat.DAGUeVM,IF(MONTH(Monat.Tag1)=10,September!Monat.DAGUeVM,IF(MONTH(Monat.Tag1)=11,October!Monat.DAGUeVM,IF(MONTH(Monat.Tag1)=12,November!Monat.DAGUeVM,"")))))))))))),"")</f>
        <v>0</v>
      </c>
      <c r="AK95" s="209"/>
      <c r="AL95" s="246">
        <f ca="1">AJ95-AG95</f>
        <v>0</v>
      </c>
      <c r="AM95" s="208"/>
      <c r="AN95" s="208"/>
      <c r="AO95" s="119"/>
    </row>
    <row r="96" spans="1:41" s="38" customFormat="1" ht="11.25" customHeight="1" x14ac:dyDescent="0.2">
      <c r="A96" s="220"/>
      <c r="B96" s="223"/>
      <c r="C96" s="223"/>
      <c r="D96" s="223"/>
      <c r="E96" s="223"/>
      <c r="F96" s="223"/>
      <c r="G96" s="223"/>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05"/>
      <c r="AF96" s="228"/>
      <c r="AG96" s="224"/>
      <c r="AH96" s="278"/>
      <c r="AI96" s="262"/>
      <c r="AJ96" s="262"/>
      <c r="AK96" s="209"/>
      <c r="AL96" s="279"/>
      <c r="AM96" s="213"/>
      <c r="AN96" s="213"/>
      <c r="AO96" s="119"/>
    </row>
    <row r="97" spans="1:41" s="38" customFormat="1" ht="15" customHeight="1" x14ac:dyDescent="0.2">
      <c r="A97" s="215" t="str">
        <f t="shared" ref="A97:A111" ca="1" si="33">IF(ROW(A97)-ROW(INDEX(Monat.Projekte.Zeilen,1))+1&gt;EB.AnzProjekte,"",OFFSET(EB.Projekte.Knoten,ROW(A97)-ROW(INDEX(Monat.Projekte.Zeilen,1))+1,0,1,1))</f>
        <v/>
      </c>
      <c r="B97" s="40"/>
      <c r="C97" s="40"/>
      <c r="D97" s="40"/>
      <c r="E97" s="27"/>
      <c r="F97" s="40"/>
      <c r="G97" s="40"/>
      <c r="H97" s="40"/>
      <c r="I97" s="40"/>
      <c r="J97" s="27"/>
      <c r="K97" s="40"/>
      <c r="L97" s="27"/>
      <c r="M97" s="40"/>
      <c r="N97" s="40"/>
      <c r="O97" s="40"/>
      <c r="P97" s="40"/>
      <c r="Q97" s="27"/>
      <c r="R97" s="40"/>
      <c r="S97" s="27"/>
      <c r="T97" s="27"/>
      <c r="U97" s="40"/>
      <c r="V97" s="40"/>
      <c r="W97" s="40"/>
      <c r="X97" s="27"/>
      <c r="Y97" s="40"/>
      <c r="Z97" s="39"/>
      <c r="AA97" s="40"/>
      <c r="AB97" s="40"/>
      <c r="AC97" s="40"/>
      <c r="AD97" s="40"/>
      <c r="AE97" s="205" t="str">
        <f t="shared" ref="AE97:AE112" ca="1" si="34">A97</f>
        <v/>
      </c>
      <c r="AF97" s="233"/>
      <c r="AG97" s="285">
        <f t="shared" ref="AG97:AG112" si="35">SUM(B97:AD97)</f>
        <v>0</v>
      </c>
      <c r="AH97" s="261"/>
      <c r="AI97" s="224"/>
      <c r="AJ97" s="245">
        <f ca="1">IF(EB.Anwendung&lt;&gt;"",IF(MONTH(Monat.Tag1)=1,0,IF(MONTH(Monat.Tag1)=2,January!Monat.P1UeVM,IF(MONTH(Monat.Tag1)=3,February!Monat.P1UeVM,IF(MONTH(Monat.Tag1)=4,March!Monat.P1UeVM,IF(MONTH(Monat.Tag1)=5,April!Monat.P1UeVM,IF(MONTH(Monat.Tag1)=6,May!Monat.P1UeVM,IF(MONTH(Monat.Tag1)=7,June!Monat.P1UeVM,IF(MONTH(Monat.Tag1)=8,July!Monat.P1UeVM,IF(MONTH(Monat.Tag1)=9,August!Monat.P1UeVM,IF(MONTH(Monat.Tag1)=10,September!Monat.P1UeVM,IF(MONTH(Monat.Tag1)=11,October!Monat.P1UeVM,IF(MONTH(Monat.Tag1)=12,November!Monat.P1UeVM,"")))))))))))),"")</f>
        <v>0</v>
      </c>
      <c r="AK97" s="209"/>
      <c r="AL97" s="246">
        <f t="shared" ref="AL97:AL112" ca="1" si="36">AG97+AJ97</f>
        <v>0</v>
      </c>
      <c r="AM97" s="208"/>
      <c r="AN97" s="208"/>
      <c r="AO97" s="119"/>
    </row>
    <row r="98" spans="1:41" s="38" customFormat="1" ht="15" customHeight="1" x14ac:dyDescent="0.2">
      <c r="A98" s="215" t="str">
        <f t="shared" ca="1" si="33"/>
        <v/>
      </c>
      <c r="B98" s="40"/>
      <c r="C98" s="40"/>
      <c r="D98" s="40"/>
      <c r="E98" s="27"/>
      <c r="F98" s="40"/>
      <c r="G98" s="40"/>
      <c r="H98" s="40"/>
      <c r="I98" s="40"/>
      <c r="J98" s="27"/>
      <c r="K98" s="40"/>
      <c r="L98" s="27"/>
      <c r="M98" s="40"/>
      <c r="N98" s="40"/>
      <c r="O98" s="40"/>
      <c r="P98" s="40"/>
      <c r="Q98" s="27"/>
      <c r="R98" s="40"/>
      <c r="S98" s="27"/>
      <c r="T98" s="27"/>
      <c r="U98" s="40"/>
      <c r="V98" s="40"/>
      <c r="W98" s="40"/>
      <c r="X98" s="27"/>
      <c r="Y98" s="40"/>
      <c r="Z98" s="39"/>
      <c r="AA98" s="40"/>
      <c r="AB98" s="40"/>
      <c r="AC98" s="40"/>
      <c r="AD98" s="40"/>
      <c r="AE98" s="205" t="str">
        <f t="shared" ca="1" si="34"/>
        <v/>
      </c>
      <c r="AF98" s="218"/>
      <c r="AG98" s="238">
        <f t="shared" si="35"/>
        <v>0</v>
      </c>
      <c r="AH98" s="261"/>
      <c r="AI98" s="224"/>
      <c r="AJ98" s="245">
        <f ca="1">IF(EB.Anwendung&lt;&gt;"",IF(MONTH(Monat.Tag1)=1,0,IF(MONTH(Monat.Tag1)=2,January!Monat.P2UeVM,IF(MONTH(Monat.Tag1)=3,February!Monat.P2UeVM,IF(MONTH(Monat.Tag1)=4,March!Monat.P2UeVM,IF(MONTH(Monat.Tag1)=5,April!Monat.P2UeVM,IF(MONTH(Monat.Tag1)=6,May!Monat.P2UeVM,IF(MONTH(Monat.Tag1)=7,June!Monat.P2UeVM,IF(MONTH(Monat.Tag1)=8,July!Monat.P2UeVM,IF(MONTH(Monat.Tag1)=9,August!Monat.P2UeVM,IF(MONTH(Monat.Tag1)=10,September!Monat.P2UeVM,IF(MONTH(Monat.Tag1)=11,October!Monat.P2UeVM,IF(MONTH(Monat.Tag1)=12,November!Monat.P2UeVM,"")))))))))))),"")</f>
        <v>0</v>
      </c>
      <c r="AK98" s="209"/>
      <c r="AL98" s="246">
        <f t="shared" ca="1" si="36"/>
        <v>0</v>
      </c>
      <c r="AM98" s="208"/>
      <c r="AN98" s="208"/>
      <c r="AO98" s="119"/>
    </row>
    <row r="99" spans="1:41" s="38" customFormat="1" ht="15" customHeight="1" x14ac:dyDescent="0.2">
      <c r="A99" s="215" t="str">
        <f t="shared" ca="1" si="33"/>
        <v/>
      </c>
      <c r="B99" s="40"/>
      <c r="C99" s="40"/>
      <c r="D99" s="40"/>
      <c r="E99" s="27"/>
      <c r="F99" s="40"/>
      <c r="G99" s="40"/>
      <c r="H99" s="40"/>
      <c r="I99" s="40"/>
      <c r="J99" s="27"/>
      <c r="K99" s="40"/>
      <c r="L99" s="27"/>
      <c r="M99" s="40"/>
      <c r="N99" s="40"/>
      <c r="O99" s="40"/>
      <c r="P99" s="40"/>
      <c r="Q99" s="27"/>
      <c r="R99" s="40"/>
      <c r="S99" s="27"/>
      <c r="T99" s="27"/>
      <c r="U99" s="40"/>
      <c r="V99" s="40"/>
      <c r="W99" s="40"/>
      <c r="X99" s="27"/>
      <c r="Y99" s="40"/>
      <c r="Z99" s="39"/>
      <c r="AA99" s="40"/>
      <c r="AB99" s="40"/>
      <c r="AC99" s="40"/>
      <c r="AD99" s="40"/>
      <c r="AE99" s="205" t="str">
        <f t="shared" ca="1" si="34"/>
        <v/>
      </c>
      <c r="AF99" s="286"/>
      <c r="AG99" s="238">
        <f t="shared" si="35"/>
        <v>0</v>
      </c>
      <c r="AH99" s="261"/>
      <c r="AI99" s="224"/>
      <c r="AJ99" s="245">
        <f ca="1">IF(EB.Anwendung&lt;&gt;"",IF(MONTH(Monat.Tag1)=1,0,IF(MONTH(Monat.Tag1)=2,January!Monat.P3UeVM,IF(MONTH(Monat.Tag1)=3,February!Monat.P3UeVM,IF(MONTH(Monat.Tag1)=4,March!Monat.P3UeVM,IF(MONTH(Monat.Tag1)=5,April!Monat.P3UeVM,IF(MONTH(Monat.Tag1)=6,May!Monat.P3UeVM,IF(MONTH(Monat.Tag1)=7,June!Monat.P3UeVM,IF(MONTH(Monat.Tag1)=8,July!Monat.P3UeVM,IF(MONTH(Monat.Tag1)=9,August!Monat.P3UeVM,IF(MONTH(Monat.Tag1)=10,September!Monat.P3UeVM,IF(MONTH(Monat.Tag1)=11,October!Monat.P3UeVM,IF(MONTH(Monat.Tag1)=12,November!Monat.P3UeVM,"")))))))))))),"")</f>
        <v>0</v>
      </c>
      <c r="AK99" s="209"/>
      <c r="AL99" s="246">
        <f t="shared" ca="1" si="36"/>
        <v>0</v>
      </c>
      <c r="AM99" s="208"/>
      <c r="AN99" s="208"/>
      <c r="AO99" s="119"/>
    </row>
    <row r="100" spans="1:41" s="38" customFormat="1" ht="15" customHeight="1" x14ac:dyDescent="0.2">
      <c r="A100" s="215" t="str">
        <f t="shared" ca="1" si="33"/>
        <v/>
      </c>
      <c r="B100" s="40"/>
      <c r="C100" s="40"/>
      <c r="D100" s="40"/>
      <c r="E100" s="27"/>
      <c r="F100" s="40"/>
      <c r="G100" s="40"/>
      <c r="H100" s="40"/>
      <c r="I100" s="40"/>
      <c r="J100" s="27"/>
      <c r="K100" s="40"/>
      <c r="L100" s="27"/>
      <c r="M100" s="40"/>
      <c r="N100" s="40"/>
      <c r="O100" s="40"/>
      <c r="P100" s="40"/>
      <c r="Q100" s="27"/>
      <c r="R100" s="40"/>
      <c r="S100" s="27"/>
      <c r="T100" s="27"/>
      <c r="U100" s="40"/>
      <c r="V100" s="40"/>
      <c r="W100" s="40"/>
      <c r="X100" s="27"/>
      <c r="Y100" s="40"/>
      <c r="Z100" s="39"/>
      <c r="AA100" s="40"/>
      <c r="AB100" s="40"/>
      <c r="AC100" s="40"/>
      <c r="AD100" s="40"/>
      <c r="AE100" s="205" t="str">
        <f t="shared" ca="1" si="34"/>
        <v/>
      </c>
      <c r="AF100" s="228"/>
      <c r="AG100" s="238">
        <f t="shared" si="35"/>
        <v>0</v>
      </c>
      <c r="AH100" s="261"/>
      <c r="AI100" s="224"/>
      <c r="AJ100" s="245">
        <f ca="1">IF(EB.Anwendung&lt;&gt;"",IF(MONTH(Monat.Tag1)=1,0,IF(MONTH(Monat.Tag1)=2,January!Monat.P4UeVM,IF(MONTH(Monat.Tag1)=3,February!Monat.P4UeVM,IF(MONTH(Monat.Tag1)=4,March!Monat.P4UeVM,IF(MONTH(Monat.Tag1)=5,April!Monat.P4UeVM,IF(MONTH(Monat.Tag1)=6,May!Monat.P4UeVM,IF(MONTH(Monat.Tag1)=7,June!Monat.P4UeVM,IF(MONTH(Monat.Tag1)=8,July!Monat.P4UeVM,IF(MONTH(Monat.Tag1)=9,August!Monat.P4UeVM,IF(MONTH(Monat.Tag1)=10,September!Monat.P4UeVM,IF(MONTH(Monat.Tag1)=11,October!Monat.P4UeVM,IF(MONTH(Monat.Tag1)=12,November!Monat.P4UeVM,"")))))))))))),"")</f>
        <v>0</v>
      </c>
      <c r="AK100" s="209"/>
      <c r="AL100" s="246">
        <f t="shared" ca="1" si="36"/>
        <v>0</v>
      </c>
      <c r="AM100" s="208"/>
      <c r="AN100" s="208"/>
      <c r="AO100" s="119"/>
    </row>
    <row r="101" spans="1:41" s="38" customFormat="1" ht="15" customHeight="1" x14ac:dyDescent="0.2">
      <c r="A101" s="215" t="str">
        <f t="shared" ca="1" si="33"/>
        <v/>
      </c>
      <c r="B101" s="40"/>
      <c r="C101" s="40"/>
      <c r="D101" s="40"/>
      <c r="E101" s="27"/>
      <c r="F101" s="40"/>
      <c r="G101" s="40"/>
      <c r="H101" s="40"/>
      <c r="I101" s="40"/>
      <c r="J101" s="27"/>
      <c r="K101" s="40"/>
      <c r="L101" s="27"/>
      <c r="M101" s="40"/>
      <c r="N101" s="40"/>
      <c r="O101" s="40"/>
      <c r="P101" s="40"/>
      <c r="Q101" s="27"/>
      <c r="R101" s="40"/>
      <c r="S101" s="27"/>
      <c r="T101" s="27"/>
      <c r="U101" s="40"/>
      <c r="V101" s="40"/>
      <c r="W101" s="40"/>
      <c r="X101" s="27"/>
      <c r="Y101" s="40"/>
      <c r="Z101" s="39"/>
      <c r="AA101" s="40"/>
      <c r="AB101" s="40"/>
      <c r="AC101" s="40"/>
      <c r="AD101" s="40"/>
      <c r="AE101" s="205" t="str">
        <f t="shared" ca="1" si="34"/>
        <v/>
      </c>
      <c r="AF101" s="218"/>
      <c r="AG101" s="238">
        <f t="shared" si="35"/>
        <v>0</v>
      </c>
      <c r="AH101" s="261"/>
      <c r="AI101" s="224"/>
      <c r="AJ101" s="245">
        <f ca="1">IF(EB.Anwendung&lt;&gt;"",IF(MONTH(Monat.Tag1)=1,0,IF(MONTH(Monat.Tag1)=2,January!Monat.P5UeVM,IF(MONTH(Monat.Tag1)=3,February!Monat.P5UeVM,IF(MONTH(Monat.Tag1)=4,March!Monat.P5UeVM,IF(MONTH(Monat.Tag1)=5,April!Monat.P5UeVM,IF(MONTH(Monat.Tag1)=6,May!Monat.P5UeVM,IF(MONTH(Monat.Tag1)=7,June!Monat.P5UeVM,IF(MONTH(Monat.Tag1)=8,July!Monat.P5UeVM,IF(MONTH(Monat.Tag1)=9,August!Monat.P5UeVM,IF(MONTH(Monat.Tag1)=10,September!Monat.P5UeVM,IF(MONTH(Monat.Tag1)=11,October!Monat.P5UeVM,IF(MONTH(Monat.Tag1)=12,November!Monat.P5UeVM,"")))))))))))),"")</f>
        <v>0</v>
      </c>
      <c r="AK101" s="209"/>
      <c r="AL101" s="246">
        <f t="shared" ca="1" si="36"/>
        <v>0</v>
      </c>
      <c r="AM101" s="208"/>
      <c r="AN101" s="208"/>
      <c r="AO101" s="119"/>
    </row>
    <row r="102" spans="1:41" s="38" customFormat="1" ht="15" hidden="1" customHeight="1" outlineLevel="1" x14ac:dyDescent="0.2">
      <c r="A102" s="215" t="str">
        <f t="shared" ca="1" si="33"/>
        <v/>
      </c>
      <c r="B102" s="40"/>
      <c r="C102" s="40"/>
      <c r="D102" s="40"/>
      <c r="E102" s="27"/>
      <c r="F102" s="40"/>
      <c r="G102" s="40"/>
      <c r="H102" s="40"/>
      <c r="I102" s="40"/>
      <c r="J102" s="27"/>
      <c r="K102" s="40"/>
      <c r="L102" s="27"/>
      <c r="M102" s="40"/>
      <c r="N102" s="40"/>
      <c r="O102" s="40"/>
      <c r="P102" s="40"/>
      <c r="Q102" s="27"/>
      <c r="R102" s="40"/>
      <c r="S102" s="27"/>
      <c r="T102" s="27"/>
      <c r="U102" s="40"/>
      <c r="V102" s="40"/>
      <c r="W102" s="40"/>
      <c r="X102" s="27"/>
      <c r="Y102" s="40"/>
      <c r="Z102" s="39"/>
      <c r="AA102" s="40"/>
      <c r="AB102" s="40"/>
      <c r="AC102" s="40"/>
      <c r="AD102" s="40"/>
      <c r="AE102" s="205" t="str">
        <f t="shared" ca="1" si="34"/>
        <v/>
      </c>
      <c r="AF102" s="286"/>
      <c r="AG102" s="238">
        <f t="shared" si="35"/>
        <v>0</v>
      </c>
      <c r="AH102" s="261"/>
      <c r="AI102" s="224"/>
      <c r="AJ102" s="245">
        <f ca="1">IF(EB.Anwendung&lt;&gt;"",IF(MONTH(Monat.Tag1)=1,0,IF(MONTH(Monat.Tag1)=2,January!Monat.P6UeVM,IF(MONTH(Monat.Tag1)=3,February!Monat.P6UeVM,IF(MONTH(Monat.Tag1)=4,March!Monat.P6UeVM,IF(MONTH(Monat.Tag1)=5,April!Monat.P6UeVM,IF(MONTH(Monat.Tag1)=6,May!Monat.P6UeVM,IF(MONTH(Monat.Tag1)=7,June!Monat.P6UeVM,IF(MONTH(Monat.Tag1)=8,July!Monat.P6UeVM,IF(MONTH(Monat.Tag1)=9,August!Monat.P6UeVM,IF(MONTH(Monat.Tag1)=10,September!Monat.P6UeVM,IF(MONTH(Monat.Tag1)=11,October!Monat.P6UeVM,IF(MONTH(Monat.Tag1)=12,November!Monat.P6UeVM,"")))))))))))),"")</f>
        <v>0</v>
      </c>
      <c r="AK102" s="209"/>
      <c r="AL102" s="246">
        <f t="shared" ca="1" si="36"/>
        <v>0</v>
      </c>
      <c r="AM102" s="208"/>
      <c r="AN102" s="208"/>
      <c r="AO102" s="119"/>
    </row>
    <row r="103" spans="1:41" s="38" customFormat="1" ht="15" hidden="1" customHeight="1" outlineLevel="1" x14ac:dyDescent="0.2">
      <c r="A103" s="215" t="str">
        <f t="shared" ca="1" si="33"/>
        <v/>
      </c>
      <c r="B103" s="40"/>
      <c r="C103" s="40"/>
      <c r="D103" s="40"/>
      <c r="E103" s="27"/>
      <c r="F103" s="40"/>
      <c r="G103" s="40"/>
      <c r="H103" s="40"/>
      <c r="I103" s="40"/>
      <c r="J103" s="27"/>
      <c r="K103" s="40"/>
      <c r="L103" s="27"/>
      <c r="M103" s="40"/>
      <c r="N103" s="40"/>
      <c r="O103" s="40"/>
      <c r="P103" s="40"/>
      <c r="Q103" s="27"/>
      <c r="R103" s="40"/>
      <c r="S103" s="27"/>
      <c r="T103" s="27"/>
      <c r="U103" s="40"/>
      <c r="V103" s="40"/>
      <c r="W103" s="40"/>
      <c r="X103" s="27"/>
      <c r="Y103" s="40"/>
      <c r="Z103" s="39"/>
      <c r="AA103" s="40"/>
      <c r="AB103" s="40"/>
      <c r="AC103" s="40"/>
      <c r="AD103" s="40"/>
      <c r="AE103" s="205" t="str">
        <f t="shared" ca="1" si="34"/>
        <v/>
      </c>
      <c r="AF103" s="228"/>
      <c r="AG103" s="238">
        <f t="shared" si="35"/>
        <v>0</v>
      </c>
      <c r="AH103" s="261"/>
      <c r="AI103" s="224"/>
      <c r="AJ103" s="245">
        <f ca="1">IF(EB.Anwendung&lt;&gt;"",IF(MONTH(Monat.Tag1)=1,0,IF(MONTH(Monat.Tag1)=2,January!Monat.P7UeVM,IF(MONTH(Monat.Tag1)=3,February!Monat.P7UeVM,IF(MONTH(Monat.Tag1)=4,March!Monat.P7UeVM,IF(MONTH(Monat.Tag1)=5,April!Monat.P7UeVM,IF(MONTH(Monat.Tag1)=6,May!Monat.P7UeVM,IF(MONTH(Monat.Tag1)=7,June!Monat.P7UeVM,IF(MONTH(Monat.Tag1)=8,July!Monat.P7UeVM,IF(MONTH(Monat.Tag1)=9,August!Monat.P7UeVM,IF(MONTH(Monat.Tag1)=10,September!Monat.P7UeVM,IF(MONTH(Monat.Tag1)=11,October!Monat.P7UeVM,IF(MONTH(Monat.Tag1)=12,November!Monat.P7UeVM,"")))))))))))),"")</f>
        <v>0</v>
      </c>
      <c r="AK103" s="209"/>
      <c r="AL103" s="246">
        <f t="shared" ca="1" si="36"/>
        <v>0</v>
      </c>
      <c r="AM103" s="208"/>
      <c r="AN103" s="208"/>
      <c r="AO103" s="119"/>
    </row>
    <row r="104" spans="1:41" s="38" customFormat="1" ht="15" hidden="1" customHeight="1" outlineLevel="1" x14ac:dyDescent="0.2">
      <c r="A104" s="215" t="str">
        <f t="shared" ca="1" si="33"/>
        <v/>
      </c>
      <c r="B104" s="40"/>
      <c r="C104" s="40"/>
      <c r="D104" s="40"/>
      <c r="E104" s="27"/>
      <c r="F104" s="40"/>
      <c r="G104" s="40"/>
      <c r="H104" s="40"/>
      <c r="I104" s="40"/>
      <c r="J104" s="27"/>
      <c r="K104" s="40"/>
      <c r="L104" s="27"/>
      <c r="M104" s="40"/>
      <c r="N104" s="40"/>
      <c r="O104" s="40"/>
      <c r="P104" s="40"/>
      <c r="Q104" s="27"/>
      <c r="R104" s="40"/>
      <c r="S104" s="27"/>
      <c r="T104" s="27"/>
      <c r="U104" s="40"/>
      <c r="V104" s="40"/>
      <c r="W104" s="40"/>
      <c r="X104" s="27"/>
      <c r="Y104" s="40"/>
      <c r="Z104" s="39"/>
      <c r="AA104" s="40"/>
      <c r="AB104" s="40"/>
      <c r="AC104" s="40"/>
      <c r="AD104" s="40"/>
      <c r="AE104" s="205" t="str">
        <f t="shared" ca="1" si="34"/>
        <v/>
      </c>
      <c r="AF104" s="233"/>
      <c r="AG104" s="238">
        <f t="shared" si="35"/>
        <v>0</v>
      </c>
      <c r="AH104" s="261"/>
      <c r="AI104" s="224"/>
      <c r="AJ104" s="245">
        <f ca="1">IF(EB.Anwendung&lt;&gt;"",IF(MONTH(Monat.Tag1)=1,0,IF(MONTH(Monat.Tag1)=2,January!Monat.P8UeVM,IF(MONTH(Monat.Tag1)=3,February!Monat.P8UeVM,IF(MONTH(Monat.Tag1)=4,March!Monat.P8UeVM,IF(MONTH(Monat.Tag1)=5,April!Monat.P8UeVM,IF(MONTH(Monat.Tag1)=6,May!Monat.P8UeVM,IF(MONTH(Monat.Tag1)=7,June!Monat.P8UeVM,IF(MONTH(Monat.Tag1)=8,July!Monat.P8UeVM,IF(MONTH(Monat.Tag1)=9,August!Monat.P8UeVM,IF(MONTH(Monat.Tag1)=10,September!Monat.P8UeVM,IF(MONTH(Monat.Tag1)=11,October!Monat.P8UeVM,IF(MONTH(Monat.Tag1)=12,November!Monat.P8UeVM,"")))))))))))),"")</f>
        <v>0</v>
      </c>
      <c r="AK104" s="209"/>
      <c r="AL104" s="246">
        <f t="shared" ca="1" si="36"/>
        <v>0</v>
      </c>
      <c r="AM104" s="208"/>
      <c r="AN104" s="208"/>
      <c r="AO104" s="119"/>
    </row>
    <row r="105" spans="1:41" s="38" customFormat="1" ht="15" hidden="1" customHeight="1" outlineLevel="1" x14ac:dyDescent="0.2">
      <c r="A105" s="215" t="str">
        <f t="shared" ca="1" si="33"/>
        <v/>
      </c>
      <c r="B105" s="40"/>
      <c r="C105" s="40"/>
      <c r="D105" s="40"/>
      <c r="E105" s="27"/>
      <c r="F105" s="40"/>
      <c r="G105" s="40"/>
      <c r="H105" s="40"/>
      <c r="I105" s="40"/>
      <c r="J105" s="27"/>
      <c r="K105" s="40"/>
      <c r="L105" s="27"/>
      <c r="M105" s="40"/>
      <c r="N105" s="40"/>
      <c r="O105" s="40"/>
      <c r="P105" s="40"/>
      <c r="Q105" s="27"/>
      <c r="R105" s="40"/>
      <c r="S105" s="27"/>
      <c r="T105" s="27"/>
      <c r="U105" s="40"/>
      <c r="V105" s="40"/>
      <c r="W105" s="40"/>
      <c r="X105" s="27"/>
      <c r="Y105" s="40"/>
      <c r="Z105" s="39"/>
      <c r="AA105" s="40"/>
      <c r="AB105" s="40"/>
      <c r="AC105" s="40"/>
      <c r="AD105" s="40"/>
      <c r="AE105" s="205" t="str">
        <f t="shared" ca="1" si="34"/>
        <v/>
      </c>
      <c r="AF105" s="218"/>
      <c r="AG105" s="238">
        <f t="shared" si="35"/>
        <v>0</v>
      </c>
      <c r="AH105" s="261"/>
      <c r="AI105" s="224"/>
      <c r="AJ105" s="245">
        <f ca="1">IF(EB.Anwendung&lt;&gt;"",IF(MONTH(Monat.Tag1)=1,0,IF(MONTH(Monat.Tag1)=2,January!Monat.P9UeVM,IF(MONTH(Monat.Tag1)=3,February!Monat.P9UeVM,IF(MONTH(Monat.Tag1)=4,March!Monat.P9UeVM,IF(MONTH(Monat.Tag1)=5,April!Monat.P9UeVM,IF(MONTH(Monat.Tag1)=6,May!Monat.P9UeVM,IF(MONTH(Monat.Tag1)=7,June!Monat.P9UeVM,IF(MONTH(Monat.Tag1)=8,July!Monat.P9UeVM,IF(MONTH(Monat.Tag1)=9,August!Monat.P9UeVM,IF(MONTH(Monat.Tag1)=10,September!Monat.P9UeVM,IF(MONTH(Monat.Tag1)=11,October!Monat.P9UeVM,IF(MONTH(Monat.Tag1)=12,November!Monat.P9UeVM,"")))))))))))),"")</f>
        <v>0</v>
      </c>
      <c r="AK105" s="209"/>
      <c r="AL105" s="246">
        <f t="shared" ca="1" si="36"/>
        <v>0</v>
      </c>
      <c r="AM105" s="208"/>
      <c r="AN105" s="208"/>
      <c r="AO105" s="119"/>
    </row>
    <row r="106" spans="1:41" s="38" customFormat="1" ht="15" hidden="1" customHeight="1" outlineLevel="1" x14ac:dyDescent="0.2">
      <c r="A106" s="215" t="str">
        <f t="shared" ca="1" si="33"/>
        <v/>
      </c>
      <c r="B106" s="40"/>
      <c r="C106" s="40"/>
      <c r="D106" s="40"/>
      <c r="E106" s="27"/>
      <c r="F106" s="40"/>
      <c r="G106" s="40"/>
      <c r="H106" s="40"/>
      <c r="I106" s="40"/>
      <c r="J106" s="27"/>
      <c r="K106" s="40"/>
      <c r="L106" s="27"/>
      <c r="M106" s="40"/>
      <c r="N106" s="40"/>
      <c r="O106" s="40"/>
      <c r="P106" s="40"/>
      <c r="Q106" s="27"/>
      <c r="R106" s="40"/>
      <c r="S106" s="27"/>
      <c r="T106" s="27"/>
      <c r="U106" s="40"/>
      <c r="V106" s="40"/>
      <c r="W106" s="40"/>
      <c r="X106" s="27"/>
      <c r="Y106" s="40"/>
      <c r="Z106" s="39"/>
      <c r="AA106" s="40"/>
      <c r="AB106" s="40"/>
      <c r="AC106" s="40"/>
      <c r="AD106" s="40"/>
      <c r="AE106" s="205" t="str">
        <f t="shared" ca="1" si="34"/>
        <v/>
      </c>
      <c r="AF106" s="218"/>
      <c r="AG106" s="238">
        <f t="shared" si="35"/>
        <v>0</v>
      </c>
      <c r="AH106" s="261"/>
      <c r="AI106" s="224"/>
      <c r="AJ106" s="245">
        <f ca="1">IF(EB.Anwendung&lt;&gt;"",IF(MONTH(Monat.Tag1)=1,0,IF(MONTH(Monat.Tag1)=2,January!Monat.P10UeVM,IF(MONTH(Monat.Tag1)=3,February!Monat.P10UeVM,IF(MONTH(Monat.Tag1)=4,March!Monat.P10UeVM,IF(MONTH(Monat.Tag1)=5,April!Monat.P10UeVM,IF(MONTH(Monat.Tag1)=6,May!Monat.P10UeVM,IF(MONTH(Monat.Tag1)=7,June!Monat.P10UeVM,IF(MONTH(Monat.Tag1)=8,July!Monat.P10UeVM,IF(MONTH(Monat.Tag1)=9,August!Monat.P10UeVM,IF(MONTH(Monat.Tag1)=10,September!Monat.P10UeVM,IF(MONTH(Monat.Tag1)=11,October!Monat.P10UeVM,IF(MONTH(Monat.Tag1)=12,November!Monat.P10UeVM,"")))))))))))),"")</f>
        <v>0</v>
      </c>
      <c r="AK106" s="209"/>
      <c r="AL106" s="246">
        <f t="shared" ca="1" si="36"/>
        <v>0</v>
      </c>
      <c r="AM106" s="208"/>
      <c r="AN106" s="208"/>
      <c r="AO106" s="119"/>
    </row>
    <row r="107" spans="1:41" s="38" customFormat="1" ht="15" hidden="1" customHeight="1" outlineLevel="1" x14ac:dyDescent="0.2">
      <c r="A107" s="215" t="str">
        <f t="shared" ca="1" si="33"/>
        <v/>
      </c>
      <c r="B107" s="40"/>
      <c r="C107" s="40"/>
      <c r="D107" s="40"/>
      <c r="E107" s="27"/>
      <c r="F107" s="40"/>
      <c r="G107" s="40"/>
      <c r="H107" s="40"/>
      <c r="I107" s="40"/>
      <c r="J107" s="27"/>
      <c r="K107" s="40"/>
      <c r="L107" s="27"/>
      <c r="M107" s="40"/>
      <c r="N107" s="40"/>
      <c r="O107" s="40"/>
      <c r="P107" s="40"/>
      <c r="Q107" s="27"/>
      <c r="R107" s="40"/>
      <c r="S107" s="27"/>
      <c r="T107" s="27"/>
      <c r="U107" s="40"/>
      <c r="V107" s="40"/>
      <c r="W107" s="40"/>
      <c r="X107" s="27"/>
      <c r="Y107" s="40"/>
      <c r="Z107" s="39"/>
      <c r="AA107" s="40"/>
      <c r="AB107" s="40"/>
      <c r="AC107" s="40"/>
      <c r="AD107" s="40"/>
      <c r="AE107" s="205" t="str">
        <f t="shared" ca="1" si="34"/>
        <v/>
      </c>
      <c r="AF107" s="233"/>
      <c r="AG107" s="238">
        <f t="shared" si="35"/>
        <v>0</v>
      </c>
      <c r="AH107" s="261"/>
      <c r="AI107" s="224"/>
      <c r="AJ107" s="245">
        <f ca="1">IF(EB.Anwendung&lt;&gt;"",IF(MONTH(Monat.Tag1)=1,0,IF(MONTH(Monat.Tag1)=2,January!Monat.P11UeVM,IF(MONTH(Monat.Tag1)=3,February!Monat.P11UeVM,IF(MONTH(Monat.Tag1)=4,March!Monat.P11UeVM,IF(MONTH(Monat.Tag1)=5,April!Monat.P11UeVM,IF(MONTH(Monat.Tag1)=6,May!Monat.P11UeVM,IF(MONTH(Monat.Tag1)=7,June!Monat.P11UeVM,IF(MONTH(Monat.Tag1)=8,July!Monat.P11UeVM,IF(MONTH(Monat.Tag1)=9,August!Monat.P11UeVM,IF(MONTH(Monat.Tag1)=10,September!Monat.P11UeVM,IF(MONTH(Monat.Tag1)=11,October!Monat.P11UeVM,IF(MONTH(Monat.Tag1)=12,November!Monat.P11UeVM,"")))))))))))),"")</f>
        <v>0</v>
      </c>
      <c r="AK107" s="209"/>
      <c r="AL107" s="246">
        <f t="shared" ca="1" si="36"/>
        <v>0</v>
      </c>
      <c r="AM107" s="287"/>
      <c r="AN107" s="287"/>
      <c r="AO107" s="119"/>
    </row>
    <row r="108" spans="1:41" s="49" customFormat="1" ht="15" hidden="1" customHeight="1" outlineLevel="1" x14ac:dyDescent="0.2">
      <c r="A108" s="215" t="str">
        <f t="shared" ca="1" si="33"/>
        <v/>
      </c>
      <c r="B108" s="40"/>
      <c r="C108" s="40"/>
      <c r="D108" s="40"/>
      <c r="E108" s="27"/>
      <c r="F108" s="40"/>
      <c r="G108" s="40"/>
      <c r="H108" s="40"/>
      <c r="I108" s="40"/>
      <c r="J108" s="27"/>
      <c r="K108" s="40"/>
      <c r="L108" s="27"/>
      <c r="M108" s="40"/>
      <c r="N108" s="40"/>
      <c r="O108" s="40"/>
      <c r="P108" s="40"/>
      <c r="Q108" s="27"/>
      <c r="R108" s="40"/>
      <c r="S108" s="27"/>
      <c r="T108" s="27"/>
      <c r="U108" s="40"/>
      <c r="V108" s="40"/>
      <c r="W108" s="40"/>
      <c r="X108" s="27"/>
      <c r="Y108" s="40"/>
      <c r="Z108" s="39"/>
      <c r="AA108" s="40"/>
      <c r="AB108" s="40"/>
      <c r="AC108" s="40"/>
      <c r="AD108" s="40"/>
      <c r="AE108" s="205" t="str">
        <f t="shared" ca="1" si="34"/>
        <v/>
      </c>
      <c r="AF108" s="233"/>
      <c r="AG108" s="238">
        <f t="shared" si="35"/>
        <v>0</v>
      </c>
      <c r="AH108" s="261"/>
      <c r="AI108" s="224"/>
      <c r="AJ108" s="245">
        <f ca="1">IF(EB.Anwendung&lt;&gt;"",IF(MONTH(Monat.Tag1)=1,0,IF(MONTH(Monat.Tag1)=2,January!Monat.P12UeVM,IF(MONTH(Monat.Tag1)=3,February!Monat.P12UeVM,IF(MONTH(Monat.Tag1)=4,March!Monat.P12UeVM,IF(MONTH(Monat.Tag1)=5,April!Monat.P12UeVM,IF(MONTH(Monat.Tag1)=6,May!Monat.P12UeVM,IF(MONTH(Monat.Tag1)=7,June!Monat.P12UeVM,IF(MONTH(Monat.Tag1)=8,July!Monat.P12UeVM,IF(MONTH(Monat.Tag1)=9,August!Monat.P12UeVM,IF(MONTH(Monat.Tag1)=10,September!Monat.P12UeVM,IF(MONTH(Monat.Tag1)=11,October!Monat.P12UeVM,IF(MONTH(Monat.Tag1)=12,November!Monat.P12UeVM,"")))))))))))),"")</f>
        <v>0</v>
      </c>
      <c r="AK108" s="209"/>
      <c r="AL108" s="246">
        <f t="shared" ca="1" si="36"/>
        <v>0</v>
      </c>
      <c r="AM108" s="287"/>
      <c r="AN108" s="287"/>
      <c r="AO108" s="288"/>
    </row>
    <row r="109" spans="1:41" s="49" customFormat="1" ht="15" hidden="1" customHeight="1" outlineLevel="1" x14ac:dyDescent="0.2">
      <c r="A109" s="215" t="str">
        <f t="shared" ca="1" si="33"/>
        <v/>
      </c>
      <c r="B109" s="40"/>
      <c r="C109" s="40"/>
      <c r="D109" s="40"/>
      <c r="E109" s="27"/>
      <c r="F109" s="40"/>
      <c r="G109" s="40"/>
      <c r="H109" s="40"/>
      <c r="I109" s="40"/>
      <c r="J109" s="27"/>
      <c r="K109" s="40"/>
      <c r="L109" s="27"/>
      <c r="M109" s="40"/>
      <c r="N109" s="40"/>
      <c r="O109" s="40"/>
      <c r="P109" s="40"/>
      <c r="Q109" s="27"/>
      <c r="R109" s="40"/>
      <c r="S109" s="27"/>
      <c r="T109" s="27"/>
      <c r="U109" s="40"/>
      <c r="V109" s="40"/>
      <c r="W109" s="40"/>
      <c r="X109" s="27"/>
      <c r="Y109" s="40"/>
      <c r="Z109" s="39"/>
      <c r="AA109" s="40"/>
      <c r="AB109" s="40"/>
      <c r="AC109" s="40"/>
      <c r="AD109" s="40"/>
      <c r="AE109" s="205" t="str">
        <f t="shared" ca="1" si="34"/>
        <v/>
      </c>
      <c r="AF109" s="218"/>
      <c r="AG109" s="238">
        <f t="shared" si="35"/>
        <v>0</v>
      </c>
      <c r="AH109" s="261"/>
      <c r="AI109" s="224"/>
      <c r="AJ109" s="245">
        <f ca="1">IF(EB.Anwendung&lt;&gt;"",IF(MONTH(Monat.Tag1)=1,0,IF(MONTH(Monat.Tag1)=2,January!Monat.P13UeVM,IF(MONTH(Monat.Tag1)=3,February!Monat.P13UeVM,IF(MONTH(Monat.Tag1)=4,March!Monat.P13UeVM,IF(MONTH(Monat.Tag1)=5,April!Monat.P13UeVM,IF(MONTH(Monat.Tag1)=6,May!Monat.P13UeVM,IF(MONTH(Monat.Tag1)=7,June!Monat.P13UeVM,IF(MONTH(Monat.Tag1)=8,July!Monat.P13UeVM,IF(MONTH(Monat.Tag1)=9,August!Monat.P13UeVM,IF(MONTH(Monat.Tag1)=10,September!Monat.P13UeVM,IF(MONTH(Monat.Tag1)=11,October!Monat.P13UeVM,IF(MONTH(Monat.Tag1)=12,November!Monat.P13UeVM,"")))))))))))),"")</f>
        <v>0</v>
      </c>
      <c r="AK109" s="209"/>
      <c r="AL109" s="246">
        <f t="shared" ca="1" si="36"/>
        <v>0</v>
      </c>
      <c r="AM109" s="287"/>
      <c r="AN109" s="287"/>
      <c r="AO109" s="288"/>
    </row>
    <row r="110" spans="1:41" ht="15" hidden="1" customHeight="1" outlineLevel="1" x14ac:dyDescent="0.2">
      <c r="A110" s="215" t="str">
        <f t="shared" ca="1" si="33"/>
        <v/>
      </c>
      <c r="B110" s="40"/>
      <c r="C110" s="40"/>
      <c r="D110" s="40"/>
      <c r="E110" s="27"/>
      <c r="F110" s="40"/>
      <c r="G110" s="40"/>
      <c r="H110" s="40"/>
      <c r="I110" s="40"/>
      <c r="J110" s="27"/>
      <c r="K110" s="40"/>
      <c r="L110" s="27"/>
      <c r="M110" s="40"/>
      <c r="N110" s="40"/>
      <c r="O110" s="40"/>
      <c r="P110" s="40"/>
      <c r="Q110" s="27"/>
      <c r="R110" s="40"/>
      <c r="S110" s="27"/>
      <c r="T110" s="27"/>
      <c r="U110" s="40"/>
      <c r="V110" s="40"/>
      <c r="W110" s="40"/>
      <c r="X110" s="27"/>
      <c r="Y110" s="40"/>
      <c r="Z110" s="39"/>
      <c r="AA110" s="40"/>
      <c r="AB110" s="40"/>
      <c r="AC110" s="40"/>
      <c r="AD110" s="40"/>
      <c r="AE110" s="205" t="str">
        <f t="shared" ca="1" si="34"/>
        <v/>
      </c>
      <c r="AF110" s="218"/>
      <c r="AG110" s="238">
        <f t="shared" si="35"/>
        <v>0</v>
      </c>
      <c r="AH110" s="261"/>
      <c r="AI110" s="224"/>
      <c r="AJ110" s="245">
        <f ca="1">IF(EB.Anwendung&lt;&gt;"",IF(MONTH(Monat.Tag1)=1,0,IF(MONTH(Monat.Tag1)=2,January!Monat.P14UeVM,IF(MONTH(Monat.Tag1)=3,February!Monat.P14UeVM,IF(MONTH(Monat.Tag1)=4,March!Monat.P14UeVM,IF(MONTH(Monat.Tag1)=5,April!Monat.P14UeVM,IF(MONTH(Monat.Tag1)=6,May!Monat.P14UeVM,IF(MONTH(Monat.Tag1)=7,June!Monat.P14UeVM,IF(MONTH(Monat.Tag1)=8,July!Monat.P14UeVM,IF(MONTH(Monat.Tag1)=9,August!Monat.P14UeVM,IF(MONTH(Monat.Tag1)=10,September!Monat.P14UeVM,IF(MONTH(Monat.Tag1)=11,October!Monat.P14UeVM,IF(MONTH(Monat.Tag1)=12,November!Monat.P14UeVM,"")))))))))))),"")</f>
        <v>0</v>
      </c>
      <c r="AK110" s="209"/>
      <c r="AL110" s="246">
        <f t="shared" ca="1" si="36"/>
        <v>0</v>
      </c>
      <c r="AM110" s="287"/>
      <c r="AN110" s="287"/>
      <c r="AO110" s="123"/>
    </row>
    <row r="111" spans="1:41" ht="15" hidden="1" customHeight="1" outlineLevel="1" x14ac:dyDescent="0.2">
      <c r="A111" s="215" t="str">
        <f t="shared" ca="1" si="33"/>
        <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7"/>
      <c r="AA111" s="40"/>
      <c r="AB111" s="40"/>
      <c r="AC111" s="40"/>
      <c r="AD111" s="40"/>
      <c r="AE111" s="205" t="str">
        <f t="shared" ca="1" si="34"/>
        <v/>
      </c>
      <c r="AF111" s="218"/>
      <c r="AG111" s="238">
        <f t="shared" si="35"/>
        <v>0</v>
      </c>
      <c r="AH111" s="261"/>
      <c r="AI111" s="224"/>
      <c r="AJ111" s="245">
        <f ca="1">IF(EB.Anwendung&lt;&gt;"",IF(MONTH(Monat.Tag1)=1,0,IF(MONTH(Monat.Tag1)=2,January!Monat.P15UeVM,IF(MONTH(Monat.Tag1)=3,February!Monat.P15UeVM,IF(MONTH(Monat.Tag1)=4,March!Monat.P15UeVM,IF(MONTH(Monat.Tag1)=5,April!Monat.P15UeVM,IF(MONTH(Monat.Tag1)=6,May!Monat.P15UeVM,IF(MONTH(Monat.Tag1)=7,June!Monat.P15UeVM,IF(MONTH(Monat.Tag1)=8,July!Monat.P15UeVM,IF(MONTH(Monat.Tag1)=9,August!Monat.P15UeVM,IF(MONTH(Monat.Tag1)=10,September!Monat.P15UeVM,IF(MONTH(Monat.Tag1)=11,October!Monat.P15UeVM,IF(MONTH(Monat.Tag1)=12,November!Monat.P15UeVM,"")))))))))))),"")</f>
        <v>0</v>
      </c>
      <c r="AK111" s="209"/>
      <c r="AL111" s="246">
        <f t="shared" ca="1" si="36"/>
        <v>0</v>
      </c>
      <c r="AM111" s="287"/>
      <c r="AN111" s="287"/>
      <c r="AO111" s="123"/>
    </row>
    <row r="112" spans="1:41" ht="15" customHeight="1" collapsed="1" x14ac:dyDescent="0.2">
      <c r="A112" s="215" t="s">
        <v>168</v>
      </c>
      <c r="B112" s="236">
        <f>SUM(B97:B111)</f>
        <v>0</v>
      </c>
      <c r="C112" s="236">
        <f t="shared" ref="C112:AD112" si="37">SUM(C97:C111)</f>
        <v>0</v>
      </c>
      <c r="D112" s="236">
        <f t="shared" si="37"/>
        <v>0</v>
      </c>
      <c r="E112" s="236">
        <f t="shared" si="37"/>
        <v>0</v>
      </c>
      <c r="F112" s="236">
        <f t="shared" si="37"/>
        <v>0</v>
      </c>
      <c r="G112" s="236">
        <f t="shared" si="37"/>
        <v>0</v>
      </c>
      <c r="H112" s="236">
        <f t="shared" si="37"/>
        <v>0</v>
      </c>
      <c r="I112" s="236">
        <f t="shared" si="37"/>
        <v>0</v>
      </c>
      <c r="J112" s="236">
        <f t="shared" si="37"/>
        <v>0</v>
      </c>
      <c r="K112" s="236">
        <f t="shared" si="37"/>
        <v>0</v>
      </c>
      <c r="L112" s="236">
        <f t="shared" si="37"/>
        <v>0</v>
      </c>
      <c r="M112" s="236">
        <f t="shared" si="37"/>
        <v>0</v>
      </c>
      <c r="N112" s="236">
        <f t="shared" si="37"/>
        <v>0</v>
      </c>
      <c r="O112" s="236">
        <f t="shared" si="37"/>
        <v>0</v>
      </c>
      <c r="P112" s="236">
        <f t="shared" si="37"/>
        <v>0</v>
      </c>
      <c r="Q112" s="236">
        <f t="shared" si="37"/>
        <v>0</v>
      </c>
      <c r="R112" s="236">
        <f t="shared" si="37"/>
        <v>0</v>
      </c>
      <c r="S112" s="236">
        <f t="shared" si="37"/>
        <v>0</v>
      </c>
      <c r="T112" s="236">
        <f t="shared" si="37"/>
        <v>0</v>
      </c>
      <c r="U112" s="236">
        <f t="shared" si="37"/>
        <v>0</v>
      </c>
      <c r="V112" s="236">
        <f t="shared" si="37"/>
        <v>0</v>
      </c>
      <c r="W112" s="236">
        <f t="shared" si="37"/>
        <v>0</v>
      </c>
      <c r="X112" s="236">
        <f t="shared" si="37"/>
        <v>0</v>
      </c>
      <c r="Y112" s="236">
        <f t="shared" si="37"/>
        <v>0</v>
      </c>
      <c r="Z112" s="236">
        <f t="shared" si="37"/>
        <v>0</v>
      </c>
      <c r="AA112" s="236">
        <f t="shared" si="37"/>
        <v>0</v>
      </c>
      <c r="AB112" s="236">
        <f t="shared" si="37"/>
        <v>0</v>
      </c>
      <c r="AC112" s="236">
        <f t="shared" si="37"/>
        <v>0</v>
      </c>
      <c r="AD112" s="236">
        <f t="shared" si="37"/>
        <v>0</v>
      </c>
      <c r="AE112" s="217" t="str">
        <f t="shared" si="34"/>
        <v>Hours worked for projects</v>
      </c>
      <c r="AF112" s="218"/>
      <c r="AG112" s="238">
        <f t="shared" si="35"/>
        <v>0</v>
      </c>
      <c r="AH112" s="261"/>
      <c r="AI112" s="224"/>
      <c r="AJ112" s="245">
        <f ca="1">IF(EB.Anwendung&lt;&gt;"",IF(MONTH(Monat.Tag1)=1,0,IF(MONTH(Monat.Tag1)=2,January!Monat.PTotalUeVM,IF(MONTH(Monat.Tag1)=3,February!Monat.PTotalUeVM,IF(MONTH(Monat.Tag1)=4,March!Monat.PTotalUeVM,IF(MONTH(Monat.Tag1)=5,April!Monat.PTotalUeVM,IF(MONTH(Monat.Tag1)=6,May!Monat.PTotalUeVM,IF(MONTH(Monat.Tag1)=7,June!Monat.PTotalUeVM,IF(MONTH(Monat.Tag1)=8,July!Monat.PTotalUeVM,IF(MONTH(Monat.Tag1)=9,August!Monat.PTotalUeVM,IF(MONTH(Monat.Tag1)=10,September!Monat.PTotalUeVM,IF(MONTH(Monat.Tag1)=11,October!Monat.PTotalUeVM,IF(MONTH(Monat.Tag1)=12,November!Monat.PTotalUeVM,"")))))))))))),"")</f>
        <v>0</v>
      </c>
      <c r="AK112" s="209"/>
      <c r="AL112" s="246">
        <f t="shared" ca="1" si="36"/>
        <v>0</v>
      </c>
      <c r="AM112" s="289"/>
      <c r="AN112" s="289"/>
      <c r="AO112" s="123"/>
    </row>
    <row r="113" spans="1:41" s="38" customFormat="1" ht="11.25" customHeight="1" x14ac:dyDescent="0.2">
      <c r="A113" s="290"/>
      <c r="B113" s="226"/>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91"/>
      <c r="AF113" s="286"/>
      <c r="AG113" s="226"/>
      <c r="AH113" s="292"/>
      <c r="AI113" s="226"/>
      <c r="AJ113" s="226"/>
      <c r="AK113" s="226"/>
      <c r="AL113" s="130"/>
      <c r="AM113" s="226"/>
      <c r="AN113" s="226"/>
      <c r="AO113" s="119"/>
    </row>
    <row r="114" spans="1:41" s="38" customFormat="1" ht="15" hidden="1" customHeight="1" outlineLevel="1" x14ac:dyDescent="0.2">
      <c r="A114" s="215" t="s">
        <v>225</v>
      </c>
      <c r="B114" s="241">
        <f t="shared" ref="B114:AD114" si="38">ROUND(((B23+B45+B91)-SUMPRODUCT((B97:B111)*(EB.Projektart.Bereich=6)))*1440,0)/1440</f>
        <v>0</v>
      </c>
      <c r="C114" s="241">
        <f t="shared" si="38"/>
        <v>0</v>
      </c>
      <c r="D114" s="241">
        <f t="shared" si="38"/>
        <v>0</v>
      </c>
      <c r="E114" s="241">
        <f t="shared" si="38"/>
        <v>0</v>
      </c>
      <c r="F114" s="241">
        <f t="shared" si="38"/>
        <v>0</v>
      </c>
      <c r="G114" s="241">
        <f t="shared" si="38"/>
        <v>0</v>
      </c>
      <c r="H114" s="241">
        <f t="shared" si="38"/>
        <v>0</v>
      </c>
      <c r="I114" s="241">
        <f t="shared" si="38"/>
        <v>0</v>
      </c>
      <c r="J114" s="241">
        <f t="shared" si="38"/>
        <v>0</v>
      </c>
      <c r="K114" s="241">
        <f t="shared" si="38"/>
        <v>0</v>
      </c>
      <c r="L114" s="241">
        <f t="shared" si="38"/>
        <v>0</v>
      </c>
      <c r="M114" s="241">
        <f t="shared" si="38"/>
        <v>0</v>
      </c>
      <c r="N114" s="241">
        <f t="shared" si="38"/>
        <v>0</v>
      </c>
      <c r="O114" s="241">
        <f t="shared" si="38"/>
        <v>0</v>
      </c>
      <c r="P114" s="241">
        <f t="shared" si="38"/>
        <v>0</v>
      </c>
      <c r="Q114" s="241">
        <f t="shared" si="38"/>
        <v>0</v>
      </c>
      <c r="R114" s="241">
        <f t="shared" si="38"/>
        <v>0</v>
      </c>
      <c r="S114" s="241">
        <f t="shared" si="38"/>
        <v>0</v>
      </c>
      <c r="T114" s="241">
        <f t="shared" si="38"/>
        <v>0</v>
      </c>
      <c r="U114" s="241">
        <f t="shared" si="38"/>
        <v>0</v>
      </c>
      <c r="V114" s="241">
        <f t="shared" si="38"/>
        <v>0</v>
      </c>
      <c r="W114" s="241">
        <f t="shared" si="38"/>
        <v>0</v>
      </c>
      <c r="X114" s="241">
        <f t="shared" si="38"/>
        <v>0</v>
      </c>
      <c r="Y114" s="241">
        <f t="shared" si="38"/>
        <v>0</v>
      </c>
      <c r="Z114" s="241">
        <f t="shared" si="38"/>
        <v>0</v>
      </c>
      <c r="AA114" s="241">
        <f t="shared" si="38"/>
        <v>0</v>
      </c>
      <c r="AB114" s="241">
        <f t="shared" si="38"/>
        <v>0</v>
      </c>
      <c r="AC114" s="241">
        <f t="shared" si="38"/>
        <v>0</v>
      </c>
      <c r="AD114" s="241">
        <f t="shared" si="38"/>
        <v>0</v>
      </c>
      <c r="AE114" s="217" t="str">
        <f t="shared" ref="AE114" si="39">A114</f>
        <v>Difference WH-Project type 6</v>
      </c>
      <c r="AF114" s="228"/>
      <c r="AG114" s="238">
        <f>SUM(B114:AD114)</f>
        <v>0</v>
      </c>
      <c r="AH114" s="261"/>
      <c r="AI114" s="262"/>
      <c r="AJ114" s="245">
        <f ca="1">IF(EB.Anwendung&lt;&gt;"",IF(MONTH(Monat.Tag1)=1,0,IF(MONTH(Monat.Tag1)=2,January!Monat.PDiffUeVM,IF(MONTH(Monat.Tag1)=3,February!Monat.PDiffUeVM,IF(MONTH(Monat.Tag1)=4,March!Monat.PDiffUeVM,IF(MONTH(Monat.Tag1)=5,April!Monat.PDiffUeVM,IF(MONTH(Monat.Tag1)=6,May!Monat.PDiffUeVM,IF(MONTH(Monat.Tag1)=7,June!Monat.PDiffUeVM,IF(MONTH(Monat.Tag1)=8,July!Monat.PDiffUeVM,IF(MONTH(Monat.Tag1)=9,August!Monat.PDiffUeVM,IF(MONTH(Monat.Tag1)=10,September!Monat.PDiffUeVM,IF(MONTH(Monat.Tag1)=11,October!Monat.PDiffUeVM,IF(MONTH(Monat.Tag1)=12,November!Monat.PDiffUeVM,"")))))))))))),"")</f>
        <v>0</v>
      </c>
      <c r="AK114" s="262"/>
      <c r="AL114" s="246">
        <f ca="1">AG114+AJ114</f>
        <v>0</v>
      </c>
      <c r="AM114" s="262"/>
      <c r="AN114" s="262"/>
      <c r="AO114" s="119"/>
    </row>
    <row r="115" spans="1:41" ht="11.25" hidden="1" customHeight="1" outlineLevel="1" x14ac:dyDescent="0.2">
      <c r="A115" s="123"/>
      <c r="B115" s="293"/>
      <c r="C115" s="293"/>
      <c r="D115" s="293"/>
      <c r="E115" s="293"/>
      <c r="F115" s="293"/>
      <c r="G115" s="293"/>
      <c r="H115" s="293"/>
      <c r="I115" s="293"/>
      <c r="J115" s="294"/>
      <c r="K115" s="293"/>
      <c r="L115" s="293"/>
      <c r="M115" s="293"/>
      <c r="N115" s="293"/>
      <c r="O115" s="293"/>
      <c r="P115" s="293"/>
      <c r="Q115" s="293"/>
      <c r="R115" s="293"/>
      <c r="S115" s="293"/>
      <c r="T115" s="293"/>
      <c r="U115" s="293"/>
      <c r="V115" s="293"/>
      <c r="W115" s="293"/>
      <c r="X115" s="293"/>
      <c r="Y115" s="293"/>
      <c r="Z115" s="293"/>
      <c r="AA115" s="293"/>
      <c r="AB115" s="293"/>
      <c r="AC115" s="293"/>
      <c r="AD115" s="293"/>
      <c r="AE115" s="295"/>
      <c r="AF115" s="296"/>
      <c r="AG115" s="123"/>
      <c r="AH115" s="123"/>
      <c r="AI115" s="123"/>
      <c r="AJ115" s="123"/>
      <c r="AK115" s="123"/>
      <c r="AL115" s="297"/>
      <c r="AM115" s="123"/>
      <c r="AN115" s="123"/>
      <c r="AO115" s="123"/>
    </row>
    <row r="116" spans="1:41" ht="11.25" customHeight="1" collapsed="1" x14ac:dyDescent="0.2">
      <c r="A116" s="123"/>
      <c r="B116" s="293"/>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293"/>
      <c r="AA116" s="293"/>
      <c r="AB116" s="293"/>
      <c r="AC116" s="293"/>
      <c r="AD116" s="293"/>
      <c r="AE116" s="295"/>
      <c r="AF116" s="296"/>
      <c r="AG116" s="123"/>
      <c r="AH116" s="123"/>
      <c r="AI116" s="123"/>
      <c r="AJ116" s="123"/>
      <c r="AK116" s="123"/>
      <c r="AL116" s="297"/>
      <c r="AM116" s="123"/>
      <c r="AN116" s="123"/>
      <c r="AO116" s="123"/>
    </row>
    <row r="117" spans="1:41" ht="12" customHeight="1" x14ac:dyDescent="0.2">
      <c r="A117" s="123"/>
      <c r="B117" s="490" t="s">
        <v>226</v>
      </c>
      <c r="C117" s="490"/>
      <c r="D117" s="490"/>
      <c r="E117" s="490"/>
      <c r="F117" s="490"/>
      <c r="G117" s="490"/>
      <c r="H117" s="490"/>
      <c r="I117" s="490"/>
      <c r="J117" s="490"/>
      <c r="K117" s="490"/>
      <c r="L117" s="490"/>
      <c r="M117" s="490"/>
      <c r="N117" s="490"/>
      <c r="O117" s="490"/>
      <c r="P117" s="490"/>
      <c r="Q117" s="490"/>
      <c r="R117" s="298"/>
      <c r="S117" s="298"/>
      <c r="T117" s="298"/>
      <c r="U117" s="298"/>
      <c r="V117" s="298"/>
      <c r="W117" s="298"/>
      <c r="X117" s="298"/>
      <c r="Y117" s="298"/>
      <c r="Z117" s="298"/>
      <c r="AA117" s="298"/>
      <c r="AB117" s="298"/>
      <c r="AC117" s="298"/>
      <c r="AD117" s="298"/>
      <c r="AE117" s="299"/>
      <c r="AF117" s="300"/>
      <c r="AG117" s="298"/>
      <c r="AH117" s="298"/>
      <c r="AI117" s="298"/>
      <c r="AJ117" s="298"/>
      <c r="AK117" s="298"/>
      <c r="AL117" s="301"/>
      <c r="AM117" s="288"/>
      <c r="AN117" s="288"/>
      <c r="AO117" s="123"/>
    </row>
    <row r="118" spans="1:41" ht="11.25" customHeight="1" x14ac:dyDescent="0.2">
      <c r="A118" s="302"/>
      <c r="B118" s="302"/>
      <c r="C118" s="302"/>
      <c r="D118" s="302"/>
      <c r="E118" s="302"/>
      <c r="F118" s="302"/>
      <c r="G118" s="302"/>
      <c r="H118" s="302"/>
      <c r="I118" s="302"/>
      <c r="J118" s="302"/>
      <c r="K118" s="302"/>
      <c r="L118" s="302"/>
      <c r="M118" s="298"/>
      <c r="N118" s="298"/>
      <c r="O118" s="298"/>
      <c r="P118" s="298"/>
      <c r="Q118" s="298"/>
      <c r="R118" s="298"/>
      <c r="S118" s="298"/>
      <c r="T118" s="298"/>
      <c r="U118" s="298"/>
      <c r="V118" s="298"/>
      <c r="W118" s="298"/>
      <c r="X118" s="298"/>
      <c r="Y118" s="298"/>
      <c r="Z118" s="298"/>
      <c r="AA118" s="298"/>
      <c r="AB118" s="298"/>
      <c r="AC118" s="298"/>
      <c r="AD118" s="298"/>
      <c r="AE118" s="298"/>
      <c r="AF118" s="298"/>
      <c r="AG118" s="298"/>
      <c r="AH118" s="298"/>
      <c r="AI118" s="298"/>
      <c r="AJ118" s="298"/>
      <c r="AK118" s="298"/>
      <c r="AL118" s="298"/>
      <c r="AM118" s="298"/>
      <c r="AN118" s="298"/>
      <c r="AO118" s="123"/>
    </row>
    <row r="119" spans="1:41" ht="39" customHeight="1" x14ac:dyDescent="0.2">
      <c r="A119" s="135" t="s">
        <v>227</v>
      </c>
      <c r="B119" s="491"/>
      <c r="C119" s="491"/>
      <c r="D119" s="491"/>
      <c r="E119" s="491"/>
      <c r="F119" s="491"/>
      <c r="G119" s="491"/>
      <c r="H119" s="491"/>
      <c r="I119" s="491"/>
      <c r="J119" s="491"/>
      <c r="K119" s="491"/>
      <c r="L119" s="491"/>
      <c r="M119" s="491"/>
      <c r="N119" s="491"/>
      <c r="O119" s="491"/>
      <c r="P119" s="491"/>
      <c r="Q119" s="491"/>
      <c r="R119" s="298"/>
      <c r="S119" s="298"/>
      <c r="T119" s="298"/>
      <c r="U119" s="298"/>
      <c r="V119" s="298"/>
      <c r="W119" s="298"/>
      <c r="X119" s="298"/>
      <c r="Y119" s="492"/>
      <c r="Z119" s="492"/>
      <c r="AA119" s="492"/>
      <c r="AB119" s="492"/>
      <c r="AC119" s="492"/>
      <c r="AD119" s="492"/>
      <c r="AE119" s="494" t="str">
        <f ca="1">IF(AE67&lt;&gt;Monat.KomAZText,AE67 &amp; CHAR(10),"") &amp;
IF(AE84&lt;&gt;Monat.FerienText,AE84,"")</f>
        <v/>
      </c>
      <c r="AF119" s="494"/>
      <c r="AG119" s="494"/>
      <c r="AH119" s="494"/>
      <c r="AI119" s="494"/>
      <c r="AJ119" s="494"/>
      <c r="AK119" s="494"/>
      <c r="AL119" s="494"/>
      <c r="AM119" s="494"/>
      <c r="AN119" s="494"/>
      <c r="AO119" s="123"/>
    </row>
    <row r="120" spans="1:41" ht="12" customHeight="1" x14ac:dyDescent="0.2">
      <c r="A120" s="442" t="s">
        <v>228</v>
      </c>
      <c r="B120" s="495"/>
      <c r="C120" s="495"/>
      <c r="D120" s="495"/>
      <c r="E120" s="495"/>
      <c r="F120" s="495"/>
      <c r="G120" s="495"/>
      <c r="H120" s="495"/>
      <c r="I120" s="495"/>
      <c r="J120" s="495"/>
      <c r="K120" s="495"/>
      <c r="L120" s="495"/>
      <c r="M120" s="495"/>
      <c r="N120" s="495"/>
      <c r="O120" s="495"/>
      <c r="P120" s="495"/>
      <c r="Q120" s="495"/>
      <c r="R120" s="298"/>
      <c r="S120" s="298"/>
      <c r="T120" s="496" t="s">
        <v>234</v>
      </c>
      <c r="U120" s="496"/>
      <c r="V120" s="496"/>
      <c r="W120" s="496"/>
      <c r="X120" s="496"/>
      <c r="Y120" s="493"/>
      <c r="Z120" s="493"/>
      <c r="AA120" s="493"/>
      <c r="AB120" s="493"/>
      <c r="AC120" s="493"/>
      <c r="AD120" s="493"/>
      <c r="AE120" s="494"/>
      <c r="AF120" s="494"/>
      <c r="AG120" s="494"/>
      <c r="AH120" s="494"/>
      <c r="AI120" s="494"/>
      <c r="AJ120" s="494"/>
      <c r="AK120" s="494"/>
      <c r="AL120" s="494"/>
      <c r="AM120" s="494"/>
      <c r="AN120" s="494"/>
      <c r="AO120" s="123"/>
    </row>
    <row r="121" spans="1:41" ht="11.25" customHeight="1" x14ac:dyDescent="0.2">
      <c r="A121" s="304"/>
      <c r="B121" s="305"/>
      <c r="C121" s="305"/>
      <c r="D121" s="305"/>
      <c r="E121" s="305"/>
      <c r="F121" s="305"/>
      <c r="G121" s="305"/>
      <c r="H121" s="305"/>
      <c r="I121" s="305"/>
      <c r="J121" s="305"/>
      <c r="K121" s="305"/>
      <c r="L121" s="305"/>
      <c r="M121" s="293"/>
      <c r="N121" s="293"/>
      <c r="O121" s="293"/>
      <c r="P121" s="293"/>
      <c r="Q121" s="293"/>
      <c r="R121" s="293"/>
      <c r="S121" s="298"/>
      <c r="T121" s="293"/>
      <c r="U121" s="293"/>
      <c r="V121" s="293"/>
      <c r="W121" s="293"/>
      <c r="X121" s="293"/>
      <c r="Y121" s="293"/>
      <c r="Z121" s="293"/>
      <c r="AA121" s="293"/>
      <c r="AB121" s="293"/>
      <c r="AC121" s="293"/>
      <c r="AD121" s="293"/>
      <c r="AE121" s="295"/>
      <c r="AF121" s="296"/>
      <c r="AG121" s="123"/>
      <c r="AH121" s="123"/>
      <c r="AI121" s="123"/>
      <c r="AJ121" s="123"/>
      <c r="AK121" s="123"/>
      <c r="AL121" s="297"/>
      <c r="AM121" s="123"/>
      <c r="AN121" s="123"/>
      <c r="AO121" s="123"/>
    </row>
    <row r="122" spans="1:41" ht="12" customHeight="1" x14ac:dyDescent="0.2">
      <c r="A122" s="123"/>
      <c r="B122" s="482" t="s">
        <v>91</v>
      </c>
      <c r="C122" s="482"/>
      <c r="D122" s="482"/>
      <c r="E122" s="482"/>
      <c r="F122" s="482"/>
      <c r="G122" s="482"/>
      <c r="H122" s="482"/>
      <c r="I122" s="482"/>
      <c r="J122" s="482"/>
      <c r="K122" s="482"/>
      <c r="L122" s="482"/>
      <c r="M122" s="482"/>
      <c r="N122" s="482"/>
      <c r="O122" s="482"/>
      <c r="P122" s="482"/>
      <c r="Q122" s="482"/>
      <c r="R122" s="293"/>
      <c r="S122" s="293"/>
      <c r="T122" s="293"/>
      <c r="U122" s="293"/>
      <c r="V122" s="293"/>
      <c r="W122" s="293"/>
      <c r="X122" s="293"/>
      <c r="Y122" s="293"/>
      <c r="Z122" s="293"/>
      <c r="AA122" s="293"/>
      <c r="AB122" s="293"/>
      <c r="AC122" s="293"/>
      <c r="AD122" s="293"/>
      <c r="AE122" s="295"/>
      <c r="AF122" s="296"/>
      <c r="AG122" s="123"/>
      <c r="AH122" s="123"/>
      <c r="AI122" s="123"/>
      <c r="AJ122" s="123"/>
      <c r="AK122" s="123"/>
      <c r="AL122" s="297"/>
      <c r="AM122" s="123"/>
      <c r="AN122" s="123"/>
      <c r="AO122" s="123"/>
    </row>
    <row r="123" spans="1:41" ht="11.25" customHeight="1" x14ac:dyDescent="0.2">
      <c r="A123" s="123"/>
      <c r="B123" s="293"/>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293"/>
      <c r="Z123" s="293"/>
      <c r="AA123" s="293"/>
      <c r="AB123" s="293"/>
      <c r="AC123" s="293"/>
      <c r="AD123" s="293"/>
      <c r="AE123" s="295"/>
      <c r="AF123" s="296"/>
      <c r="AG123" s="123"/>
      <c r="AH123" s="123"/>
      <c r="AI123" s="123"/>
      <c r="AJ123" s="123"/>
      <c r="AK123" s="123"/>
      <c r="AL123" s="297"/>
      <c r="AM123" s="123"/>
      <c r="AN123" s="123"/>
      <c r="AO123" s="123"/>
    </row>
    <row r="124" spans="1:41" ht="11.25" customHeight="1" x14ac:dyDescent="0.2">
      <c r="A124" s="298"/>
      <c r="B124" s="298"/>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c r="AA124" s="298"/>
      <c r="AB124" s="298"/>
      <c r="AC124" s="298"/>
      <c r="AD124" s="298"/>
      <c r="AE124" s="298"/>
      <c r="AF124" s="298"/>
      <c r="AG124" s="298"/>
      <c r="AH124" s="298"/>
      <c r="AI124" s="298"/>
      <c r="AJ124" s="298"/>
      <c r="AK124" s="298"/>
      <c r="AL124" s="298"/>
      <c r="AM124" s="298"/>
      <c r="AN124" s="298"/>
      <c r="AO124" s="123"/>
    </row>
    <row r="125" spans="1:41" x14ac:dyDescent="0.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row>
    <row r="126" spans="1:41"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row>
    <row r="127" spans="1:41"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row>
    <row r="128" spans="1:41" x14ac:dyDescent="0.2">
      <c r="AE128" s="50"/>
      <c r="AF128" s="50"/>
      <c r="AL128" s="50"/>
    </row>
    <row r="129" spans="31:38" x14ac:dyDescent="0.2">
      <c r="AE129" s="50"/>
      <c r="AF129" s="50"/>
      <c r="AL129" s="50"/>
    </row>
    <row r="130" spans="31:38" x14ac:dyDescent="0.2">
      <c r="AE130" s="50"/>
      <c r="AF130" s="50"/>
      <c r="AL130" s="50"/>
    </row>
    <row r="131" spans="31:38" x14ac:dyDescent="0.2">
      <c r="AE131" s="50"/>
      <c r="AF131" s="50"/>
      <c r="AL131" s="50"/>
    </row>
    <row r="132" spans="31:38" x14ac:dyDescent="0.2">
      <c r="AE132" s="50"/>
      <c r="AF132" s="50"/>
      <c r="AL132" s="50"/>
    </row>
    <row r="133" spans="31:38" x14ac:dyDescent="0.2">
      <c r="AE133" s="50"/>
      <c r="AF133" s="50"/>
      <c r="AL133" s="50"/>
    </row>
    <row r="134" spans="31:38" x14ac:dyDescent="0.2">
      <c r="AE134" s="50"/>
      <c r="AF134" s="50"/>
      <c r="AL134" s="50"/>
    </row>
    <row r="135" spans="31:38" x14ac:dyDescent="0.2">
      <c r="AE135" s="50"/>
      <c r="AF135" s="50"/>
      <c r="AL135" s="50"/>
    </row>
    <row r="136" spans="31:38" x14ac:dyDescent="0.2">
      <c r="AE136" s="50"/>
      <c r="AF136" s="50"/>
      <c r="AL136" s="50"/>
    </row>
    <row r="137" spans="31:38" x14ac:dyDescent="0.2">
      <c r="AE137" s="50"/>
      <c r="AF137" s="50"/>
      <c r="AL137" s="50"/>
    </row>
    <row r="138" spans="31:38" x14ac:dyDescent="0.2">
      <c r="AE138" s="50"/>
      <c r="AF138" s="50"/>
      <c r="AL138" s="50"/>
    </row>
    <row r="139" spans="31:38" x14ac:dyDescent="0.2">
      <c r="AE139" s="50"/>
      <c r="AF139" s="50"/>
      <c r="AL139" s="50"/>
    </row>
    <row r="140" spans="31:38" x14ac:dyDescent="0.2">
      <c r="AE140" s="50"/>
      <c r="AF140" s="50"/>
      <c r="AL140" s="50"/>
    </row>
  </sheetData>
  <sheetProtection sheet="1" objects="1" scenarios="1"/>
  <mergeCells count="26">
    <mergeCell ref="B6:E6"/>
    <mergeCell ref="F6:N6"/>
    <mergeCell ref="B1:L1"/>
    <mergeCell ref="AM1:AN1"/>
    <mergeCell ref="B2:E2"/>
    <mergeCell ref="F2:N2"/>
    <mergeCell ref="P2:U2"/>
    <mergeCell ref="B3:E3"/>
    <mergeCell ref="F3:N3"/>
    <mergeCell ref="P3:U3"/>
    <mergeCell ref="B4:E4"/>
    <mergeCell ref="F4:N4"/>
    <mergeCell ref="P4:U4"/>
    <mergeCell ref="B5:E5"/>
    <mergeCell ref="F5:N5"/>
    <mergeCell ref="B122:Q122"/>
    <mergeCell ref="B7:E7"/>
    <mergeCell ref="F7:N7"/>
    <mergeCell ref="AF10:AG10"/>
    <mergeCell ref="AM10:AN10"/>
    <mergeCell ref="B117:Q117"/>
    <mergeCell ref="B119:Q119"/>
    <mergeCell ref="Y119:AD120"/>
    <mergeCell ref="AE119:AN120"/>
    <mergeCell ref="B120:Q120"/>
    <mergeCell ref="T120:X120"/>
  </mergeCells>
  <conditionalFormatting sqref="AG114 B114:AD114">
    <cfRule type="expression" dxfId="276" priority="13">
      <formula>ABS(B$114)&gt;=ROUND(1/24/60,9)</formula>
    </cfRule>
  </conditionalFormatting>
  <conditionalFormatting sqref="B13:AD22 B34:AD44 B25:AD30 B60:AD61 B67:AD67 B71:AD72 B84:AD84 B86:AD95 B97:AD111">
    <cfRule type="expression" dxfId="275" priority="11">
      <formula>WEEKDAY(B$10,2)&gt;5</formula>
    </cfRule>
    <cfRule type="expression" dxfId="274" priority="12">
      <formula>AND(NOT(ISERROR(MATCH(B$10,T.Feiertage.Bereich,0))),OFFSET(T.Feiertage.Bereich,MATCH(B$10,T.Feiertage.Bereich,0)-1,1,1,1)&gt;0)</formula>
    </cfRule>
    <cfRule type="expression" dxfId="273" priority="14">
      <formula>B$11=0</formula>
    </cfRule>
  </conditionalFormatting>
  <conditionalFormatting sqref="AL60:AM60">
    <cfRule type="expression" dxfId="272" priority="19">
      <formula>AND(T.50_Vetsuisse,AL60&gt;=T.GrenzeAngÜZ50_Vetsuisse)</formula>
    </cfRule>
    <cfRule type="expression" dxfId="271" priority="20">
      <formula>AND(T.50_Vetsuisse,AL60&gt;T.GrenzeAngÜZ50_Vetsuisse*T.AngÜZ50_Vetsuisse_orange)</formula>
    </cfRule>
  </conditionalFormatting>
  <conditionalFormatting sqref="B56:AD56">
    <cfRule type="expression" dxfId="270" priority="5">
      <formula>AND(B$10&gt;TODAY(),EB.UJAustritt="")</formula>
    </cfRule>
    <cfRule type="expression" dxfId="269" priority="6">
      <formula>B$56&gt;99.99/24</formula>
    </cfRule>
    <cfRule type="expression" dxfId="268" priority="8">
      <formula>B$56&lt;99.99/24*-1</formula>
    </cfRule>
  </conditionalFormatting>
  <conditionalFormatting sqref="AM55:AN55">
    <cfRule type="cellIs" dxfId="267" priority="21" operator="greaterThan">
      <formula>1/24/60</formula>
    </cfRule>
    <cfRule type="expression" dxfId="266" priority="22">
      <formula>AND(AM55&lt;=1/24/60*-1,TODAY()&gt;=DATE(EB.Jahr,MONTH(12),DAY(31)))</formula>
    </cfRule>
  </conditionalFormatting>
  <conditionalFormatting sqref="AG58 B56:AD56">
    <cfRule type="expression" dxfId="265" priority="7">
      <formula>B$56&gt;1/24/60</formula>
    </cfRule>
    <cfRule type="expression" dxfId="264" priority="9">
      <formula>AND(B$56&lt;=1/24/60*-1,B$56)</formula>
    </cfRule>
  </conditionalFormatting>
  <conditionalFormatting sqref="B14:AD22 B36:AD44 B26:AD30">
    <cfRule type="expression" dxfId="263" priority="3">
      <formula>AND(B14&lt;B13,B14&lt;&gt;"")</formula>
    </cfRule>
  </conditionalFormatting>
  <conditionalFormatting sqref="B72:AD73">
    <cfRule type="expression" dxfId="262" priority="10">
      <formula>AND(T.50_Vetsuisse,OR(AND(B$72&lt;&gt;INDEX(T.JaNein.Bereich,1,1),B$72&lt;&gt;INDEX(T.JaNein.Bereich,2,1),B$73&lt;&gt;0,MOD(IFERROR(MATCH(1,B$13:B$22,0),1),2)=0),AND(B$72=INDEX(T.JaNein.Bereich,1,1),OR(B$73=0,MOD(IFERROR(MATCH(1,B$13:B$22,0),1),2)&lt;&gt;0))))</formula>
    </cfRule>
  </conditionalFormatting>
  <conditionalFormatting sqref="P4:U4">
    <cfRule type="expression" dxfId="261" priority="15">
      <formula>$P$4&lt;&gt;""</formula>
    </cfRule>
  </conditionalFormatting>
  <conditionalFormatting sqref="V4">
    <cfRule type="expression" dxfId="260" priority="16">
      <formula>$V$4&lt;&gt;""</formula>
    </cfRule>
  </conditionalFormatting>
  <conditionalFormatting sqref="AN60">
    <cfRule type="expression" dxfId="259" priority="23">
      <formula>AND(T.50_Vetsuisse,AN60&gt;=T.GrenzeAngÜZ50_Vetsuisse)</formula>
    </cfRule>
    <cfRule type="expression" dxfId="258" priority="24">
      <formula>AND(T.50_Vetsuisse,AN60&gt;T.GrenzeAngÜZ50_Vetsuisse*T.AngÜZ50_Vetsuisse_orange)</formula>
    </cfRule>
  </conditionalFormatting>
  <conditionalFormatting sqref="AH72:AH73">
    <cfRule type="expression" dxfId="257" priority="17">
      <formula>AND(T.50_Vetsuisse,$AH$72&lt;&gt;$AH$73)</formula>
    </cfRule>
    <cfRule type="expression" dxfId="256" priority="18">
      <formula>$AH$72&gt;$AH$73</formula>
    </cfRule>
  </conditionalFormatting>
  <conditionalFormatting sqref="B55:AD55">
    <cfRule type="expression" dxfId="255" priority="4">
      <formula>AND(B$10&lt;=TODAY(),B$55&lt;1/24/60*-1)</formula>
    </cfRule>
  </conditionalFormatting>
  <conditionalFormatting sqref="AE67 AE84">
    <cfRule type="expression" dxfId="254" priority="2">
      <formula>AE67&lt;&gt;A67</formula>
    </cfRule>
  </conditionalFormatting>
  <conditionalFormatting sqref="B67:AD67">
    <cfRule type="expression" dxfId="253" priority="1">
      <formula>AND(B66=0,B67&gt;0)</formula>
    </cfRule>
  </conditionalFormatting>
  <dataValidations count="2">
    <dataValidation type="list" allowBlank="1" showInputMessage="1" showErrorMessage="1" errorTitle="Start pl. night shift" error="Please choose a value from the drop-down list." sqref="B72:AD72" xr:uid="{0539CCCC-1D49-414C-A857-ECC35307737D}">
      <formula1>T.JaNein.Bereich</formula1>
    </dataValidation>
    <dataValidation type="list" allowBlank="1" showInputMessage="1" showErrorMessage="1" errorTitle="Pikett Bereitschaft" error="Bitte wählen Sie einen Wert aus der Liste." sqref="B34:AD34" xr:uid="{B10FB5CB-2CCA-42A7-97C6-EA5246DF8737}">
      <formula1>T.Pikett.Bereich</formula1>
    </dataValidation>
  </dataValidations>
  <printOptions horizontalCentered="1"/>
  <pageMargins left="0.19685039370078741" right="0.19685039370078741" top="0.39370078740157483" bottom="0.39370078740157483" header="0.31496062992125984" footer="0.19685039370078741"/>
  <pageSetup paperSize="9" scale="30" orientation="landscape" horizontalDpi="4294967292" verticalDpi="4294967292" r:id="rId1"/>
  <headerFooter alignWithMargins="0">
    <oddFooter>&amp;L&amp;"Arial,Standard"&amp;11Monatsabrechnung &amp;A&amp;C&amp;"Arial,Standard"&amp;11&amp;D&amp;R&amp;"Arial,Standard"&amp;11&amp;P /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B5936-B97D-4BBA-B508-C26F34B68BCF}">
  <sheetPr>
    <pageSetUpPr fitToPage="1"/>
  </sheetPr>
  <dimension ref="A1:AQ140"/>
  <sheetViews>
    <sheetView showGridLines="0" zoomScale="85" zoomScaleNormal="85" zoomScalePageLayoutView="85" workbookViewId="0">
      <pane xSplit="1" ySplit="10" topLeftCell="B11" activePane="bottomRight" state="frozenSplit"/>
      <selection activeCell="Q8" sqref="Q8:AF11"/>
      <selection pane="topRight" activeCell="Q8" sqref="Q8:AF11"/>
      <selection pane="bottomLeft" activeCell="Q8" sqref="Q8:AF11"/>
      <selection pane="bottomRight" activeCell="B13" sqref="B13"/>
    </sheetView>
  </sheetViews>
  <sheetFormatPr baseColWidth="10" defaultColWidth="10.75" defaultRowHeight="12.75" outlineLevelRow="1" outlineLevelCol="1" x14ac:dyDescent="0.2"/>
  <cols>
    <col min="1" max="1" width="24.5" style="50" customWidth="1"/>
    <col min="2" max="32" width="5.75" style="50" customWidth="1"/>
    <col min="33" max="33" width="24.5" style="52" customWidth="1"/>
    <col min="34" max="34" width="2.125" style="53" customWidth="1"/>
    <col min="35" max="36" width="8.125" style="50" customWidth="1"/>
    <col min="37" max="37" width="15.875" style="50" hidden="1" customWidth="1" outlineLevel="1"/>
    <col min="38" max="39" width="14.25" style="50" hidden="1" customWidth="1" outlineLevel="1"/>
    <col min="40" max="40" width="9.375" style="37" customWidth="1" collapsed="1"/>
    <col min="41" max="42" width="8.125" style="50" customWidth="1"/>
    <col min="43" max="43" width="3.75" style="50" customWidth="1"/>
    <col min="44" max="16384" width="10.75" style="50"/>
  </cols>
  <sheetData>
    <row r="1" spans="1:43" s="54" customFormat="1" ht="22.5" customHeight="1" x14ac:dyDescent="0.2">
      <c r="A1" s="181" t="str">
        <f>INDEX(EB.Monate.Bereich,MONTH(Monat.Tag1)) &amp; " " &amp; EB.Jahr</f>
        <v>March 2020</v>
      </c>
      <c r="B1" s="470" t="str">
        <f>Eingabeblatt!B1</f>
        <v>Employee Time Sheet</v>
      </c>
      <c r="C1" s="470"/>
      <c r="D1" s="470"/>
      <c r="E1" s="470"/>
      <c r="F1" s="470"/>
      <c r="G1" s="470"/>
      <c r="H1" s="470"/>
      <c r="I1" s="470"/>
      <c r="J1" s="470"/>
      <c r="K1" s="470"/>
      <c r="L1" s="470"/>
      <c r="M1" s="101"/>
      <c r="N1" s="101"/>
      <c r="O1" s="101"/>
      <c r="P1" s="101"/>
      <c r="Q1" s="101"/>
      <c r="R1" s="182"/>
      <c r="S1" s="101"/>
      <c r="T1" s="101"/>
      <c r="U1" s="101"/>
      <c r="V1" s="183"/>
      <c r="W1" s="183"/>
      <c r="X1" s="101"/>
      <c r="Y1" s="182"/>
      <c r="Z1" s="101"/>
      <c r="AA1" s="101"/>
      <c r="AB1" s="101"/>
      <c r="AC1" s="101"/>
      <c r="AD1" s="101"/>
      <c r="AE1" s="101"/>
      <c r="AF1" s="101"/>
      <c r="AG1" s="184"/>
      <c r="AH1" s="185"/>
      <c r="AI1" s="101"/>
      <c r="AJ1" s="101"/>
      <c r="AK1" s="101"/>
      <c r="AL1" s="101"/>
      <c r="AM1" s="101"/>
      <c r="AN1" s="440"/>
      <c r="AO1" s="498" t="str">
        <f>EB.Version</f>
        <v>Version 12.19</v>
      </c>
      <c r="AP1" s="498"/>
      <c r="AQ1" s="103" t="str">
        <f>EB.Sprache</f>
        <v>EN</v>
      </c>
    </row>
    <row r="2" spans="1:43" s="38" customFormat="1" ht="15" customHeight="1" x14ac:dyDescent="0.2">
      <c r="A2" s="135"/>
      <c r="B2" s="461" t="str">
        <f>Eingabeblatt!A3</f>
        <v>Name</v>
      </c>
      <c r="C2" s="474"/>
      <c r="D2" s="474"/>
      <c r="E2" s="462"/>
      <c r="F2" s="499" t="str">
        <f>IF(EB.Name="","?",EB.Name)</f>
        <v>?</v>
      </c>
      <c r="G2" s="500"/>
      <c r="H2" s="500"/>
      <c r="I2" s="500"/>
      <c r="J2" s="500"/>
      <c r="K2" s="500"/>
      <c r="L2" s="500"/>
      <c r="M2" s="500"/>
      <c r="N2" s="501"/>
      <c r="O2" s="186"/>
      <c r="P2" s="461" t="str">
        <f>Eingabeblatt!J7</f>
        <v>Employment Level (FTE) in %</v>
      </c>
      <c r="Q2" s="474"/>
      <c r="R2" s="474"/>
      <c r="S2" s="474"/>
      <c r="T2" s="474"/>
      <c r="U2" s="462"/>
      <c r="V2" s="14">
        <f>IF(INDEX(EB.EffBG.Bereich,MONTH(Monat.Tag1))="","-     ",INDEX(EB.EffBG.Bereich,MONTH(Monat.Tag1)))</f>
        <v>100</v>
      </c>
      <c r="W2" s="187"/>
      <c r="X2" s="187"/>
      <c r="Y2" s="108"/>
      <c r="Z2" s="119"/>
      <c r="AA2" s="119"/>
      <c r="AB2" s="119"/>
      <c r="AC2" s="119"/>
      <c r="AD2" s="119"/>
      <c r="AE2" s="119"/>
      <c r="AF2" s="119"/>
      <c r="AG2" s="106"/>
      <c r="AH2" s="188"/>
      <c r="AI2" s="119"/>
      <c r="AJ2" s="119"/>
      <c r="AK2" s="119"/>
      <c r="AL2" s="119"/>
      <c r="AM2" s="119"/>
      <c r="AN2" s="189"/>
      <c r="AO2" s="119"/>
      <c r="AP2" s="119"/>
      <c r="AQ2" s="119"/>
    </row>
    <row r="3" spans="1:43" s="38" customFormat="1" ht="15" customHeight="1" x14ac:dyDescent="0.2">
      <c r="A3" s="190"/>
      <c r="B3" s="461" t="str">
        <f>Eingabeblatt!H2</f>
        <v>Function</v>
      </c>
      <c r="C3" s="474"/>
      <c r="D3" s="474"/>
      <c r="E3" s="462"/>
      <c r="F3" s="483" t="str">
        <f>EB.Funktion</f>
        <v>Description of Function</v>
      </c>
      <c r="G3" s="484"/>
      <c r="H3" s="484"/>
      <c r="I3" s="484"/>
      <c r="J3" s="484"/>
      <c r="K3" s="484"/>
      <c r="L3" s="484"/>
      <c r="M3" s="484"/>
      <c r="N3" s="485"/>
      <c r="O3" s="106"/>
      <c r="P3" s="461" t="str">
        <f>Eingabeblatt!J12</f>
        <v>ø Hours per day at FTE</v>
      </c>
      <c r="Q3" s="474"/>
      <c r="R3" s="474"/>
      <c r="S3" s="474"/>
      <c r="T3" s="474"/>
      <c r="U3" s="462"/>
      <c r="V3" s="57">
        <f>IF(INDEX(EB.DurchSollTAZStd.Bereich,MONTH(Monat.Tag1))="","-     ",INDEX(EB.DurchSollTAZStd.Bereich,MONTH(Monat.Tag1)))</f>
        <v>0.35</v>
      </c>
      <c r="W3" s="191"/>
      <c r="X3" s="191"/>
      <c r="Y3" s="119"/>
      <c r="Z3" s="119"/>
      <c r="AA3" s="119"/>
      <c r="AB3" s="119"/>
      <c r="AC3" s="119"/>
      <c r="AD3" s="119"/>
      <c r="AE3" s="119"/>
      <c r="AF3" s="119"/>
      <c r="AG3" s="106"/>
      <c r="AH3" s="188"/>
      <c r="AI3" s="119"/>
      <c r="AJ3" s="119"/>
      <c r="AK3" s="119"/>
      <c r="AL3" s="119"/>
      <c r="AM3" s="119"/>
      <c r="AN3" s="189"/>
      <c r="AO3" s="119"/>
      <c r="AP3" s="119"/>
      <c r="AQ3" s="119"/>
    </row>
    <row r="4" spans="1:43" s="38" customFormat="1" ht="15" customHeight="1" x14ac:dyDescent="0.2">
      <c r="A4" s="190"/>
      <c r="B4" s="461" t="str">
        <f>Eingabeblatt!H3</f>
        <v>Institute/Department</v>
      </c>
      <c r="C4" s="474"/>
      <c r="D4" s="474"/>
      <c r="E4" s="462"/>
      <c r="F4" s="483" t="str">
        <f>EB.Institut</f>
        <v>Institute/Department Name</v>
      </c>
      <c r="G4" s="484"/>
      <c r="H4" s="484"/>
      <c r="I4" s="484"/>
      <c r="J4" s="484"/>
      <c r="K4" s="484"/>
      <c r="L4" s="484"/>
      <c r="M4" s="484"/>
      <c r="N4" s="485"/>
      <c r="O4" s="106"/>
      <c r="P4" s="497" t="str">
        <f ca="1">IF(EB.ÜZZSBerechtigt=INDEX(T.JaNein.Bereich,1,1),IF(AND(OR(AND(EB.LKgr16=INDEX(T.JaNein.Bereich,1,1),EB.LKgr16ab&gt;EOMONTH(Monat.Tag1,0)),EB.LKgr16&lt;&gt;INDEX(T.JaNein.Bereich,1,1)),Monat.AZSoll.Total&gt;0),Eingabeblatt!J6,""),"")</f>
        <v/>
      </c>
      <c r="Q4" s="497"/>
      <c r="R4" s="497"/>
      <c r="S4" s="497"/>
      <c r="T4" s="497"/>
      <c r="U4" s="497"/>
      <c r="V4" s="192" t="str">
        <f ca="1">IF(P4&lt;&gt;"",EB.ÜZZSBerechtigt,"")</f>
        <v/>
      </c>
      <c r="W4" s="119"/>
      <c r="X4" s="119"/>
      <c r="Y4" s="119"/>
      <c r="Z4" s="119"/>
      <c r="AA4" s="119"/>
      <c r="AB4" s="119"/>
      <c r="AC4" s="119"/>
      <c r="AD4" s="119"/>
      <c r="AE4" s="119"/>
      <c r="AF4" s="119"/>
      <c r="AG4" s="106"/>
      <c r="AH4" s="188"/>
      <c r="AI4" s="119"/>
      <c r="AJ4" s="119"/>
      <c r="AK4" s="119"/>
      <c r="AL4" s="119"/>
      <c r="AM4" s="119"/>
      <c r="AN4" s="189"/>
      <c r="AO4" s="119"/>
      <c r="AP4" s="119"/>
      <c r="AQ4" s="119"/>
    </row>
    <row r="5" spans="1:43" s="38" customFormat="1" ht="15" customHeight="1" x14ac:dyDescent="0.2">
      <c r="A5" s="190"/>
      <c r="B5" s="461" t="str">
        <f>Eingabeblatt!A5</f>
        <v>Employee Number</v>
      </c>
      <c r="C5" s="474"/>
      <c r="D5" s="474"/>
      <c r="E5" s="462"/>
      <c r="F5" s="483" t="str">
        <f>IF(EB.Personalnummer="","?",EB.Personalnummer)</f>
        <v>?</v>
      </c>
      <c r="G5" s="484"/>
      <c r="H5" s="484"/>
      <c r="I5" s="484"/>
      <c r="J5" s="484"/>
      <c r="K5" s="484"/>
      <c r="L5" s="484"/>
      <c r="M5" s="484"/>
      <c r="N5" s="485"/>
      <c r="O5" s="106"/>
      <c r="P5" s="110" t="str">
        <f>LEFT(Eingabeblatt!A38,SEARCH("(",Eingabeblatt!A38,1)-2) &amp; IF(MONTH(Monat.Tag1)&gt;1,IF(EB.Sprache="EN"," (changes as of "," (Veränderungen ab ") &amp; INDEX(EB.Monate.Bereich,MONTH(Monat.Tag1))  &amp; IF(EB.Sprache="EN"," have to be entered here)"," hier eintragen)"),"")</f>
        <v>Standard working hours (changes as of March have to be entered here)</v>
      </c>
      <c r="Q5" s="106"/>
      <c r="R5" s="119"/>
      <c r="S5" s="119"/>
      <c r="T5" s="119"/>
      <c r="U5" s="119"/>
      <c r="V5" s="119"/>
      <c r="W5" s="119"/>
      <c r="X5" s="119"/>
      <c r="Y5" s="119"/>
      <c r="Z5" s="119"/>
      <c r="AA5" s="119"/>
      <c r="AB5" s="119"/>
      <c r="AC5" s="119"/>
      <c r="AD5" s="119"/>
      <c r="AE5" s="119"/>
      <c r="AF5" s="119" t="s">
        <v>4</v>
      </c>
      <c r="AG5" s="106"/>
      <c r="AH5" s="188"/>
      <c r="AI5" s="119"/>
      <c r="AJ5" s="119"/>
      <c r="AK5" s="119"/>
      <c r="AL5" s="119"/>
      <c r="AM5" s="119"/>
      <c r="AN5" s="189"/>
      <c r="AO5" s="119"/>
      <c r="AP5" s="119"/>
      <c r="AQ5" s="119"/>
    </row>
    <row r="6" spans="1:43" s="38" customFormat="1" ht="15" customHeight="1" x14ac:dyDescent="0.2">
      <c r="A6" s="190"/>
      <c r="B6" s="461" t="str">
        <f>Eingabeblatt!H4</f>
        <v>Faculty</v>
      </c>
      <c r="C6" s="474"/>
      <c r="D6" s="474"/>
      <c r="E6" s="462"/>
      <c r="F6" s="483" t="str">
        <f>EB.Fakultaet</f>
        <v>Select Faculty</v>
      </c>
      <c r="G6" s="484"/>
      <c r="H6" s="484"/>
      <c r="I6" s="484"/>
      <c r="J6" s="484"/>
      <c r="K6" s="484"/>
      <c r="L6" s="484"/>
      <c r="M6" s="484"/>
      <c r="N6" s="485"/>
      <c r="O6" s="106"/>
      <c r="P6" s="193" t="str">
        <f>LEFT(INDEX(EB.RAZ_Wochentage.Bereich,1),2)</f>
        <v>Mo</v>
      </c>
      <c r="Q6" s="193" t="str">
        <f>LEFT(INDEX(EB.RAZ_Wochentage.Bereich,2),2)</f>
        <v>Tu</v>
      </c>
      <c r="R6" s="193" t="str">
        <f>LEFT(INDEX(EB.RAZ_Wochentage.Bereich,3),2)</f>
        <v>We</v>
      </c>
      <c r="S6" s="193" t="str">
        <f>LEFT(INDEX(EB.RAZ_Wochentage.Bereich,4),2)</f>
        <v>Th</v>
      </c>
      <c r="T6" s="193" t="str">
        <f>LEFT(INDEX(EB.RAZ_Wochentage.Bereich,5),2)</f>
        <v>Fr</v>
      </c>
      <c r="U6" s="193" t="str">
        <f>LEFT(INDEX(EB.RAZ_Wochentage.Bereich,6),2)</f>
        <v>Sa</v>
      </c>
      <c r="V6" s="193" t="str">
        <f>LEFT(INDEX(EB.RAZ_Wochentage.Bereich,7),2)</f>
        <v>Su</v>
      </c>
      <c r="W6" s="119"/>
      <c r="X6" s="119"/>
      <c r="Y6" s="119"/>
      <c r="Z6" s="119"/>
      <c r="AA6" s="119"/>
      <c r="AB6" s="119"/>
      <c r="AC6" s="119"/>
      <c r="AD6" s="119"/>
      <c r="AE6" s="119"/>
      <c r="AF6" s="119"/>
      <c r="AG6" s="106"/>
      <c r="AH6" s="188"/>
      <c r="AI6" s="119"/>
      <c r="AJ6" s="119"/>
      <c r="AK6" s="119"/>
      <c r="AL6" s="119"/>
      <c r="AM6" s="119"/>
      <c r="AN6" s="189"/>
      <c r="AO6" s="119"/>
      <c r="AP6" s="119"/>
      <c r="AQ6" s="119"/>
    </row>
    <row r="7" spans="1:43" s="38" customFormat="1" ht="15" customHeight="1" x14ac:dyDescent="0.2">
      <c r="A7" s="190"/>
      <c r="B7" s="461" t="str">
        <f>Eingabeblatt!H5</f>
        <v>Employee Category</v>
      </c>
      <c r="C7" s="474"/>
      <c r="D7" s="474"/>
      <c r="E7" s="462"/>
      <c r="F7" s="483" t="str">
        <f>EB.Personalkategorie</f>
        <v>Select Employee Category</v>
      </c>
      <c r="G7" s="484"/>
      <c r="H7" s="484"/>
      <c r="I7" s="484"/>
      <c r="J7" s="484"/>
      <c r="K7" s="484"/>
      <c r="L7" s="484"/>
      <c r="M7" s="484"/>
      <c r="N7" s="485"/>
      <c r="O7" s="106"/>
      <c r="P7" s="194">
        <f ca="1">IF(EB.Anwendung&lt;&gt;"",IF(MONTH(Monat.Tag1)=1,INDEX(EB.RAZ1_7.Bereich,1),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1)),"")</f>
        <v>0.35</v>
      </c>
      <c r="Q7" s="194">
        <f ca="1">IF(EB.Anwendung&lt;&gt;"",IF(MONTH(Monat.Tag1)=1,INDEX(EB.RAZ1_7.Bereich,2),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2)),"")</f>
        <v>0.35</v>
      </c>
      <c r="R7" s="194">
        <f ca="1">IF(EB.Anwendung&lt;&gt;"",IF(MONTH(Monat.Tag1)=1,INDEX(EB.RAZ1_7.Bereich,3),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3)),"")</f>
        <v>0.35</v>
      </c>
      <c r="S7" s="194">
        <f ca="1">IF(EB.Anwendung&lt;&gt;"",IF(MONTH(Monat.Tag1)=1,INDEX(EB.RAZ1_7.Bereich,4),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4)),"")</f>
        <v>0.35</v>
      </c>
      <c r="T7" s="194">
        <f ca="1">IF(EB.Anwendung&lt;&gt;"",IF(MONTH(Monat.Tag1)=1,INDEX(EB.RAZ1_7.Bereich,5),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5)),"")</f>
        <v>0.35</v>
      </c>
      <c r="U7" s="194">
        <f ca="1">IF(EB.Anwendung&lt;&gt;"",IF(MONTH(Monat.Tag1)=1,INDEX(EB.RAZ1_7.Bereich,6),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6)),"")</f>
        <v>0</v>
      </c>
      <c r="V7" s="194">
        <f ca="1">IF(EB.Anwendung&lt;&gt;"",IF(MONTH(Monat.Tag1)=1,INDEX(EB.RAZ1_7.Bereich,7),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7)),"")</f>
        <v>0</v>
      </c>
      <c r="W7" s="354">
        <f ca="1">SUM(Monat.RAZ1_7.Bereich)</f>
        <v>1.75</v>
      </c>
      <c r="X7" s="119"/>
      <c r="Y7" s="119"/>
      <c r="Z7" s="119"/>
      <c r="AA7" s="119"/>
      <c r="AB7" s="119"/>
      <c r="AC7" s="119"/>
      <c r="AD7" s="119"/>
      <c r="AE7" s="119"/>
      <c r="AF7" s="119"/>
      <c r="AG7" s="106"/>
      <c r="AH7" s="188"/>
      <c r="AI7" s="119"/>
      <c r="AJ7" s="119"/>
      <c r="AK7" s="119"/>
      <c r="AL7" s="119"/>
      <c r="AM7" s="119"/>
      <c r="AN7" s="189"/>
      <c r="AO7" s="119"/>
      <c r="AP7" s="119"/>
      <c r="AQ7" s="119"/>
    </row>
    <row r="8" spans="1:43" s="38" customFormat="1" ht="11.25" customHeight="1" x14ac:dyDescent="0.2">
      <c r="A8" s="135"/>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06"/>
      <c r="AH8" s="188"/>
      <c r="AI8" s="119"/>
      <c r="AJ8" s="119"/>
      <c r="AK8" s="119"/>
      <c r="AL8" s="119"/>
      <c r="AM8" s="119"/>
      <c r="AN8" s="189"/>
      <c r="AO8" s="119"/>
      <c r="AP8" s="119"/>
      <c r="AQ8" s="119"/>
    </row>
    <row r="9" spans="1:43" s="38" customFormat="1" ht="15" customHeight="1" x14ac:dyDescent="0.2">
      <c r="A9" s="135"/>
      <c r="B9" s="195" t="str">
        <f t="shared" ref="B9:AF9" si="0">INDEX(Monat.Wochentage.Bereich,1,WEEKDAY(B10,2))</f>
        <v>Su</v>
      </c>
      <c r="C9" s="195" t="str">
        <f t="shared" si="0"/>
        <v>Mo</v>
      </c>
      <c r="D9" s="195" t="str">
        <f t="shared" si="0"/>
        <v>Tu</v>
      </c>
      <c r="E9" s="195" t="str">
        <f t="shared" si="0"/>
        <v>We</v>
      </c>
      <c r="F9" s="195" t="str">
        <f t="shared" si="0"/>
        <v>Th</v>
      </c>
      <c r="G9" s="195" t="str">
        <f t="shared" si="0"/>
        <v>Fr</v>
      </c>
      <c r="H9" s="195" t="str">
        <f t="shared" si="0"/>
        <v>Sa</v>
      </c>
      <c r="I9" s="195" t="str">
        <f t="shared" si="0"/>
        <v>Su</v>
      </c>
      <c r="J9" s="195" t="str">
        <f t="shared" si="0"/>
        <v>Mo</v>
      </c>
      <c r="K9" s="195" t="str">
        <f t="shared" si="0"/>
        <v>Tu</v>
      </c>
      <c r="L9" s="195" t="str">
        <f t="shared" si="0"/>
        <v>We</v>
      </c>
      <c r="M9" s="195" t="str">
        <f t="shared" si="0"/>
        <v>Th</v>
      </c>
      <c r="N9" s="195" t="str">
        <f t="shared" si="0"/>
        <v>Fr</v>
      </c>
      <c r="O9" s="195" t="str">
        <f t="shared" si="0"/>
        <v>Sa</v>
      </c>
      <c r="P9" s="195" t="str">
        <f t="shared" si="0"/>
        <v>Su</v>
      </c>
      <c r="Q9" s="195" t="str">
        <f t="shared" si="0"/>
        <v>Mo</v>
      </c>
      <c r="R9" s="195" t="str">
        <f t="shared" si="0"/>
        <v>Tu</v>
      </c>
      <c r="S9" s="195" t="str">
        <f t="shared" si="0"/>
        <v>We</v>
      </c>
      <c r="T9" s="195" t="str">
        <f t="shared" si="0"/>
        <v>Th</v>
      </c>
      <c r="U9" s="195" t="str">
        <f t="shared" si="0"/>
        <v>Fr</v>
      </c>
      <c r="V9" s="195" t="str">
        <f t="shared" si="0"/>
        <v>Sa</v>
      </c>
      <c r="W9" s="195" t="str">
        <f t="shared" si="0"/>
        <v>Su</v>
      </c>
      <c r="X9" s="195" t="str">
        <f t="shared" si="0"/>
        <v>Mo</v>
      </c>
      <c r="Y9" s="195" t="str">
        <f t="shared" si="0"/>
        <v>Tu</v>
      </c>
      <c r="Z9" s="195" t="str">
        <f t="shared" si="0"/>
        <v>We</v>
      </c>
      <c r="AA9" s="195" t="str">
        <f t="shared" si="0"/>
        <v>Th</v>
      </c>
      <c r="AB9" s="195" t="str">
        <f t="shared" si="0"/>
        <v>Fr</v>
      </c>
      <c r="AC9" s="195" t="str">
        <f t="shared" si="0"/>
        <v>Sa</v>
      </c>
      <c r="AD9" s="195" t="str">
        <f t="shared" si="0"/>
        <v>Su</v>
      </c>
      <c r="AE9" s="195" t="str">
        <f t="shared" si="0"/>
        <v>Mo</v>
      </c>
      <c r="AF9" s="195" t="str">
        <f t="shared" si="0"/>
        <v>Tu</v>
      </c>
      <c r="AG9" s="106"/>
      <c r="AH9" s="188"/>
      <c r="AI9" s="119"/>
      <c r="AJ9" s="119"/>
      <c r="AK9" s="119"/>
      <c r="AL9" s="119"/>
      <c r="AM9" s="119"/>
      <c r="AN9" s="189"/>
      <c r="AO9" s="119"/>
      <c r="AP9" s="119"/>
      <c r="AQ9" s="119"/>
    </row>
    <row r="10" spans="1:43" s="59" customFormat="1" ht="25.5" x14ac:dyDescent="0.2">
      <c r="A10" s="196" t="s">
        <v>73</v>
      </c>
      <c r="B10" s="197">
        <v>42429</v>
      </c>
      <c r="C10" s="197">
        <f>B10+1</f>
        <v>42430</v>
      </c>
      <c r="D10" s="197">
        <f t="shared" ref="D10:AF10" si="1">C10+1</f>
        <v>42431</v>
      </c>
      <c r="E10" s="197">
        <f t="shared" si="1"/>
        <v>42432</v>
      </c>
      <c r="F10" s="197">
        <f t="shared" si="1"/>
        <v>42433</v>
      </c>
      <c r="G10" s="197">
        <f t="shared" si="1"/>
        <v>42434</v>
      </c>
      <c r="H10" s="197">
        <f t="shared" si="1"/>
        <v>42435</v>
      </c>
      <c r="I10" s="197">
        <f t="shared" si="1"/>
        <v>42436</v>
      </c>
      <c r="J10" s="197">
        <f t="shared" si="1"/>
        <v>42437</v>
      </c>
      <c r="K10" s="197">
        <f t="shared" si="1"/>
        <v>42438</v>
      </c>
      <c r="L10" s="197">
        <f t="shared" si="1"/>
        <v>42439</v>
      </c>
      <c r="M10" s="197">
        <f t="shared" si="1"/>
        <v>42440</v>
      </c>
      <c r="N10" s="197">
        <f t="shared" si="1"/>
        <v>42441</v>
      </c>
      <c r="O10" s="197">
        <f t="shared" si="1"/>
        <v>42442</v>
      </c>
      <c r="P10" s="197">
        <f t="shared" si="1"/>
        <v>42443</v>
      </c>
      <c r="Q10" s="197">
        <f t="shared" si="1"/>
        <v>42444</v>
      </c>
      <c r="R10" s="197">
        <f t="shared" si="1"/>
        <v>42445</v>
      </c>
      <c r="S10" s="197">
        <f t="shared" si="1"/>
        <v>42446</v>
      </c>
      <c r="T10" s="197">
        <f t="shared" si="1"/>
        <v>42447</v>
      </c>
      <c r="U10" s="197">
        <f t="shared" si="1"/>
        <v>42448</v>
      </c>
      <c r="V10" s="197">
        <f t="shared" si="1"/>
        <v>42449</v>
      </c>
      <c r="W10" s="197">
        <f t="shared" si="1"/>
        <v>42450</v>
      </c>
      <c r="X10" s="197">
        <f t="shared" si="1"/>
        <v>42451</v>
      </c>
      <c r="Y10" s="197">
        <f t="shared" si="1"/>
        <v>42452</v>
      </c>
      <c r="Z10" s="197">
        <f t="shared" si="1"/>
        <v>42453</v>
      </c>
      <c r="AA10" s="197">
        <f t="shared" si="1"/>
        <v>42454</v>
      </c>
      <c r="AB10" s="197">
        <f t="shared" si="1"/>
        <v>42455</v>
      </c>
      <c r="AC10" s="197">
        <f t="shared" si="1"/>
        <v>42456</v>
      </c>
      <c r="AD10" s="197">
        <f t="shared" si="1"/>
        <v>42457</v>
      </c>
      <c r="AE10" s="197">
        <f t="shared" si="1"/>
        <v>42458</v>
      </c>
      <c r="AF10" s="197">
        <f t="shared" si="1"/>
        <v>42459</v>
      </c>
      <c r="AG10" s="198" t="str">
        <f t="shared" ref="AG10:AG56" si="2">A10</f>
        <v>Day</v>
      </c>
      <c r="AH10" s="486" t="str">
        <f>"Total " &amp; INDEX(EB.Monate.Bereich,MONTH(Monat.Tag1))</f>
        <v>Total March</v>
      </c>
      <c r="AI10" s="487"/>
      <c r="AJ10" s="441" t="s">
        <v>229</v>
      </c>
      <c r="AK10" s="199" t="s">
        <v>121</v>
      </c>
      <c r="AL10" s="199" t="s">
        <v>122</v>
      </c>
      <c r="AM10" s="199" t="s">
        <v>230</v>
      </c>
      <c r="AN10" s="200" t="s">
        <v>123</v>
      </c>
      <c r="AO10" s="488" t="str">
        <f ca="1">IF(EB.Sprache="DE","Jahressaldo per" &amp; CHAR(10) &amp; "    ME       " &amp; IFERROR(TEXT(TODAY(),"[$-0007]"&amp;"TT.MM.JJ"),TEXT(TODAY(),"[$-0007]"&amp;"DD.MM.YY")),
"Yearly balance by" &amp; CHAR(10) &amp; "   eom      " &amp; IFERROR(TEXT(TODAY(),"[$-0809]"&amp;"DD.MM.YY"),TEXT(TODAY(),"[$-0809]"&amp;"TT.MM.JJ")))</f>
        <v>Yearly balance by
   eom      14.12.19</v>
      </c>
      <c r="AP10" s="489"/>
      <c r="AQ10" s="201"/>
    </row>
    <row r="11" spans="1:43" s="59" customFormat="1" ht="12" hidden="1" customHeight="1" x14ac:dyDescent="0.2">
      <c r="A11" s="196" t="s">
        <v>163</v>
      </c>
      <c r="B11" s="202">
        <f t="shared" ref="B11:AF11" ca="1" si="3">IFERROR(OFFSET(T.Feiertage.Bereich,MATCH(B$10,T.Feiertage.Bereich,0)-1,1,1,1),1)</f>
        <v>1</v>
      </c>
      <c r="C11" s="202">
        <f t="shared" ca="1" si="3"/>
        <v>1</v>
      </c>
      <c r="D11" s="202">
        <f t="shared" ca="1" si="3"/>
        <v>1</v>
      </c>
      <c r="E11" s="203">
        <f t="shared" ca="1" si="3"/>
        <v>1</v>
      </c>
      <c r="F11" s="202">
        <f t="shared" ca="1" si="3"/>
        <v>1</v>
      </c>
      <c r="G11" s="202">
        <f t="shared" ca="1" si="3"/>
        <v>1</v>
      </c>
      <c r="H11" s="202">
        <f t="shared" ca="1" si="3"/>
        <v>1</v>
      </c>
      <c r="I11" s="202">
        <f t="shared" ca="1" si="3"/>
        <v>1</v>
      </c>
      <c r="J11" s="203">
        <f t="shared" ca="1" si="3"/>
        <v>1</v>
      </c>
      <c r="K11" s="202">
        <f t="shared" ca="1" si="3"/>
        <v>1</v>
      </c>
      <c r="L11" s="203">
        <f t="shared" ca="1" si="3"/>
        <v>1</v>
      </c>
      <c r="M11" s="202">
        <f t="shared" ca="1" si="3"/>
        <v>1</v>
      </c>
      <c r="N11" s="202">
        <f t="shared" ca="1" si="3"/>
        <v>1</v>
      </c>
      <c r="O11" s="202">
        <f t="shared" ca="1" si="3"/>
        <v>1</v>
      </c>
      <c r="P11" s="202">
        <f t="shared" ca="1" si="3"/>
        <v>1</v>
      </c>
      <c r="Q11" s="203">
        <f t="shared" ca="1" si="3"/>
        <v>1</v>
      </c>
      <c r="R11" s="202">
        <f t="shared" ca="1" si="3"/>
        <v>1</v>
      </c>
      <c r="S11" s="203">
        <f t="shared" ca="1" si="3"/>
        <v>1</v>
      </c>
      <c r="T11" s="203">
        <f t="shared" ca="1" si="3"/>
        <v>1</v>
      </c>
      <c r="U11" s="202">
        <f t="shared" ca="1" si="3"/>
        <v>1</v>
      </c>
      <c r="V11" s="202">
        <f t="shared" ca="1" si="3"/>
        <v>1</v>
      </c>
      <c r="W11" s="202">
        <f t="shared" ca="1" si="3"/>
        <v>1</v>
      </c>
      <c r="X11" s="203">
        <f t="shared" ca="1" si="3"/>
        <v>1</v>
      </c>
      <c r="Y11" s="202">
        <f t="shared" ca="1" si="3"/>
        <v>1</v>
      </c>
      <c r="Z11" s="204">
        <f t="shared" ca="1" si="3"/>
        <v>1</v>
      </c>
      <c r="AA11" s="202">
        <f t="shared" ca="1" si="3"/>
        <v>1</v>
      </c>
      <c r="AB11" s="202">
        <f t="shared" ca="1" si="3"/>
        <v>1</v>
      </c>
      <c r="AC11" s="202">
        <f t="shared" ca="1" si="3"/>
        <v>1</v>
      </c>
      <c r="AD11" s="202">
        <f t="shared" ca="1" si="3"/>
        <v>1</v>
      </c>
      <c r="AE11" s="203">
        <f t="shared" ca="1" si="3"/>
        <v>1</v>
      </c>
      <c r="AF11" s="202">
        <f t="shared" ca="1" si="3"/>
        <v>1</v>
      </c>
      <c r="AG11" s="205"/>
      <c r="AH11" s="188"/>
      <c r="AI11" s="206"/>
      <c r="AJ11" s="207"/>
      <c r="AK11" s="208"/>
      <c r="AL11" s="209"/>
      <c r="AM11" s="209"/>
      <c r="AN11" s="208"/>
      <c r="AO11" s="209"/>
      <c r="AP11" s="209"/>
      <c r="AQ11" s="201"/>
    </row>
    <row r="12" spans="1:43" s="59" customFormat="1" ht="12" hidden="1" customHeight="1" x14ac:dyDescent="0.2">
      <c r="A12" s="196" t="s">
        <v>169</v>
      </c>
      <c r="B12" s="210">
        <f t="shared" ref="B12:AF12" si="4">IF(OR(AND(ISNUMBER(EB.UJEintritt),EB.UJEintritt&gt;=B$10+1),AND(ISNUMBER(EB.UJAustritt),EB.UJAustritt&lt;=B$10-1)),0,1)</f>
        <v>1</v>
      </c>
      <c r="C12" s="210">
        <f t="shared" si="4"/>
        <v>1</v>
      </c>
      <c r="D12" s="210">
        <f t="shared" si="4"/>
        <v>1</v>
      </c>
      <c r="E12" s="195">
        <f t="shared" si="4"/>
        <v>1</v>
      </c>
      <c r="F12" s="210">
        <f t="shared" si="4"/>
        <v>1</v>
      </c>
      <c r="G12" s="210">
        <f t="shared" si="4"/>
        <v>1</v>
      </c>
      <c r="H12" s="210">
        <f t="shared" si="4"/>
        <v>1</v>
      </c>
      <c r="I12" s="210">
        <f t="shared" si="4"/>
        <v>1</v>
      </c>
      <c r="J12" s="195">
        <f t="shared" si="4"/>
        <v>1</v>
      </c>
      <c r="K12" s="210">
        <f t="shared" si="4"/>
        <v>1</v>
      </c>
      <c r="L12" s="195">
        <f t="shared" si="4"/>
        <v>1</v>
      </c>
      <c r="M12" s="210">
        <f t="shared" si="4"/>
        <v>1</v>
      </c>
      <c r="N12" s="210">
        <f t="shared" si="4"/>
        <v>1</v>
      </c>
      <c r="O12" s="210">
        <f t="shared" si="4"/>
        <v>1</v>
      </c>
      <c r="P12" s="210">
        <f t="shared" si="4"/>
        <v>1</v>
      </c>
      <c r="Q12" s="195">
        <f t="shared" si="4"/>
        <v>1</v>
      </c>
      <c r="R12" s="210">
        <f t="shared" si="4"/>
        <v>1</v>
      </c>
      <c r="S12" s="195">
        <f t="shared" si="4"/>
        <v>1</v>
      </c>
      <c r="T12" s="195">
        <f t="shared" si="4"/>
        <v>1</v>
      </c>
      <c r="U12" s="210">
        <f t="shared" si="4"/>
        <v>1</v>
      </c>
      <c r="V12" s="210">
        <f t="shared" si="4"/>
        <v>1</v>
      </c>
      <c r="W12" s="210">
        <f t="shared" si="4"/>
        <v>1</v>
      </c>
      <c r="X12" s="195">
        <f t="shared" si="4"/>
        <v>1</v>
      </c>
      <c r="Y12" s="210">
        <f t="shared" si="4"/>
        <v>1</v>
      </c>
      <c r="Z12" s="211">
        <f t="shared" si="4"/>
        <v>1</v>
      </c>
      <c r="AA12" s="210">
        <f t="shared" si="4"/>
        <v>1</v>
      </c>
      <c r="AB12" s="210">
        <f t="shared" si="4"/>
        <v>1</v>
      </c>
      <c r="AC12" s="210">
        <f t="shared" si="4"/>
        <v>1</v>
      </c>
      <c r="AD12" s="210">
        <f t="shared" si="4"/>
        <v>1</v>
      </c>
      <c r="AE12" s="195">
        <f t="shared" si="4"/>
        <v>1</v>
      </c>
      <c r="AF12" s="210">
        <f t="shared" si="4"/>
        <v>1</v>
      </c>
      <c r="AG12" s="205"/>
      <c r="AH12" s="188"/>
      <c r="AI12" s="206"/>
      <c r="AJ12" s="207"/>
      <c r="AK12" s="208"/>
      <c r="AL12" s="209"/>
      <c r="AM12" s="209"/>
      <c r="AN12" s="208"/>
      <c r="AO12" s="209"/>
      <c r="AP12" s="209"/>
      <c r="AQ12" s="201"/>
    </row>
    <row r="13" spans="1:43" s="38" customFormat="1" ht="15" customHeight="1" x14ac:dyDescent="0.2">
      <c r="A13" s="212" t="s">
        <v>74</v>
      </c>
      <c r="B13" s="40"/>
      <c r="C13" s="40"/>
      <c r="D13" s="40"/>
      <c r="E13" s="27"/>
      <c r="F13" s="40"/>
      <c r="G13" s="40"/>
      <c r="H13" s="40"/>
      <c r="I13" s="40"/>
      <c r="J13" s="27"/>
      <c r="K13" s="40"/>
      <c r="L13" s="27"/>
      <c r="M13" s="40"/>
      <c r="N13" s="40"/>
      <c r="O13" s="40"/>
      <c r="P13" s="40"/>
      <c r="Q13" s="27"/>
      <c r="R13" s="40"/>
      <c r="S13" s="27"/>
      <c r="T13" s="27"/>
      <c r="U13" s="40"/>
      <c r="V13" s="40"/>
      <c r="W13" s="40"/>
      <c r="X13" s="27"/>
      <c r="Y13" s="40"/>
      <c r="Z13" s="39"/>
      <c r="AA13" s="40"/>
      <c r="AB13" s="40"/>
      <c r="AC13" s="40"/>
      <c r="AD13" s="40"/>
      <c r="AE13" s="27"/>
      <c r="AF13" s="40"/>
      <c r="AG13" s="205" t="str">
        <f t="shared" si="2"/>
        <v>in</v>
      </c>
      <c r="AH13" s="188"/>
      <c r="AI13" s="206"/>
      <c r="AJ13" s="207"/>
      <c r="AK13" s="208"/>
      <c r="AL13" s="209"/>
      <c r="AM13" s="209"/>
      <c r="AN13" s="208"/>
      <c r="AO13" s="209"/>
      <c r="AP13" s="209"/>
      <c r="AQ13" s="119"/>
    </row>
    <row r="14" spans="1:43" s="38" customFormat="1" ht="15" customHeight="1" x14ac:dyDescent="0.2">
      <c r="A14" s="212" t="s">
        <v>75</v>
      </c>
      <c r="B14" s="40"/>
      <c r="C14" s="40"/>
      <c r="D14" s="40"/>
      <c r="E14" s="27"/>
      <c r="F14" s="40"/>
      <c r="G14" s="40"/>
      <c r="H14" s="40"/>
      <c r="I14" s="40"/>
      <c r="J14" s="27"/>
      <c r="K14" s="40"/>
      <c r="L14" s="27"/>
      <c r="M14" s="40"/>
      <c r="N14" s="40"/>
      <c r="O14" s="40"/>
      <c r="P14" s="40"/>
      <c r="Q14" s="27"/>
      <c r="R14" s="40"/>
      <c r="S14" s="27"/>
      <c r="T14" s="27"/>
      <c r="U14" s="40"/>
      <c r="V14" s="40"/>
      <c r="W14" s="40"/>
      <c r="X14" s="27"/>
      <c r="Y14" s="40"/>
      <c r="Z14" s="39"/>
      <c r="AA14" s="40"/>
      <c r="AB14" s="40"/>
      <c r="AC14" s="40"/>
      <c r="AD14" s="40"/>
      <c r="AE14" s="27"/>
      <c r="AF14" s="40"/>
      <c r="AG14" s="205" t="str">
        <f t="shared" si="2"/>
        <v>out</v>
      </c>
      <c r="AH14" s="188"/>
      <c r="AI14" s="206"/>
      <c r="AJ14" s="207"/>
      <c r="AK14" s="208"/>
      <c r="AL14" s="209"/>
      <c r="AM14" s="209"/>
      <c r="AN14" s="208"/>
      <c r="AO14" s="209"/>
      <c r="AP14" s="209"/>
      <c r="AQ14" s="119"/>
    </row>
    <row r="15" spans="1:43" s="38" customFormat="1" ht="15" customHeight="1" x14ac:dyDescent="0.2">
      <c r="A15" s="212" t="s">
        <v>74</v>
      </c>
      <c r="B15" s="40"/>
      <c r="C15" s="40"/>
      <c r="D15" s="40"/>
      <c r="E15" s="27"/>
      <c r="F15" s="40"/>
      <c r="G15" s="40"/>
      <c r="H15" s="40"/>
      <c r="I15" s="40"/>
      <c r="J15" s="27"/>
      <c r="K15" s="40"/>
      <c r="L15" s="27"/>
      <c r="M15" s="40"/>
      <c r="N15" s="40"/>
      <c r="O15" s="40"/>
      <c r="P15" s="40"/>
      <c r="Q15" s="27"/>
      <c r="R15" s="40"/>
      <c r="S15" s="27"/>
      <c r="T15" s="27"/>
      <c r="U15" s="40"/>
      <c r="V15" s="40"/>
      <c r="W15" s="40"/>
      <c r="X15" s="27"/>
      <c r="Y15" s="40"/>
      <c r="Z15" s="39"/>
      <c r="AA15" s="40"/>
      <c r="AB15" s="40"/>
      <c r="AC15" s="40"/>
      <c r="AD15" s="40"/>
      <c r="AE15" s="27"/>
      <c r="AF15" s="40"/>
      <c r="AG15" s="205" t="str">
        <f t="shared" si="2"/>
        <v>in</v>
      </c>
      <c r="AH15" s="188"/>
      <c r="AI15" s="206"/>
      <c r="AJ15" s="207"/>
      <c r="AK15" s="208"/>
      <c r="AL15" s="209"/>
      <c r="AM15" s="209"/>
      <c r="AN15" s="208"/>
      <c r="AO15" s="209"/>
      <c r="AP15" s="209"/>
      <c r="AQ15" s="119"/>
    </row>
    <row r="16" spans="1:43" s="38" customFormat="1" ht="15" customHeight="1" x14ac:dyDescent="0.2">
      <c r="A16" s="212" t="s">
        <v>75</v>
      </c>
      <c r="B16" s="40"/>
      <c r="C16" s="40"/>
      <c r="D16" s="40"/>
      <c r="E16" s="27"/>
      <c r="F16" s="40"/>
      <c r="G16" s="40"/>
      <c r="H16" s="40"/>
      <c r="I16" s="40"/>
      <c r="J16" s="27"/>
      <c r="K16" s="40"/>
      <c r="L16" s="27"/>
      <c r="M16" s="40"/>
      <c r="N16" s="40"/>
      <c r="O16" s="40"/>
      <c r="P16" s="40"/>
      <c r="Q16" s="27"/>
      <c r="R16" s="40"/>
      <c r="S16" s="27"/>
      <c r="T16" s="27"/>
      <c r="U16" s="40"/>
      <c r="V16" s="40"/>
      <c r="W16" s="40"/>
      <c r="X16" s="27"/>
      <c r="Y16" s="40"/>
      <c r="Z16" s="39"/>
      <c r="AA16" s="40"/>
      <c r="AB16" s="40"/>
      <c r="AC16" s="40"/>
      <c r="AD16" s="40"/>
      <c r="AE16" s="27"/>
      <c r="AF16" s="40"/>
      <c r="AG16" s="205" t="str">
        <f t="shared" si="2"/>
        <v>out</v>
      </c>
      <c r="AH16" s="188"/>
      <c r="AI16" s="213"/>
      <c r="AJ16" s="214"/>
      <c r="AK16" s="209"/>
      <c r="AL16" s="209"/>
      <c r="AM16" s="209"/>
      <c r="AN16" s="208"/>
      <c r="AO16" s="209"/>
      <c r="AP16" s="209"/>
      <c r="AQ16" s="119"/>
    </row>
    <row r="17" spans="1:43" s="38" customFormat="1" ht="15" customHeight="1" x14ac:dyDescent="0.2">
      <c r="A17" s="212" t="s">
        <v>74</v>
      </c>
      <c r="B17" s="40"/>
      <c r="C17" s="40"/>
      <c r="D17" s="40"/>
      <c r="E17" s="27"/>
      <c r="F17" s="40"/>
      <c r="G17" s="40"/>
      <c r="H17" s="40"/>
      <c r="I17" s="40"/>
      <c r="J17" s="27"/>
      <c r="K17" s="40"/>
      <c r="L17" s="27"/>
      <c r="M17" s="40"/>
      <c r="N17" s="40"/>
      <c r="O17" s="40"/>
      <c r="P17" s="40"/>
      <c r="Q17" s="27"/>
      <c r="R17" s="40"/>
      <c r="S17" s="27"/>
      <c r="T17" s="27"/>
      <c r="U17" s="40"/>
      <c r="V17" s="40"/>
      <c r="W17" s="40"/>
      <c r="X17" s="27"/>
      <c r="Y17" s="40"/>
      <c r="Z17" s="39"/>
      <c r="AA17" s="40"/>
      <c r="AB17" s="40"/>
      <c r="AC17" s="40"/>
      <c r="AD17" s="40"/>
      <c r="AE17" s="27"/>
      <c r="AF17" s="40"/>
      <c r="AG17" s="205" t="str">
        <f t="shared" si="2"/>
        <v>in</v>
      </c>
      <c r="AH17" s="188"/>
      <c r="AI17" s="213"/>
      <c r="AJ17" s="214"/>
      <c r="AK17" s="209"/>
      <c r="AL17" s="209"/>
      <c r="AM17" s="209"/>
      <c r="AN17" s="208"/>
      <c r="AO17" s="209"/>
      <c r="AP17" s="209"/>
      <c r="AQ17" s="119"/>
    </row>
    <row r="18" spans="1:43" s="38" customFormat="1" ht="15" customHeight="1" x14ac:dyDescent="0.2">
      <c r="A18" s="212" t="s">
        <v>75</v>
      </c>
      <c r="B18" s="40"/>
      <c r="C18" s="40"/>
      <c r="D18" s="40"/>
      <c r="E18" s="27"/>
      <c r="F18" s="40"/>
      <c r="G18" s="40"/>
      <c r="H18" s="40"/>
      <c r="I18" s="40"/>
      <c r="J18" s="27"/>
      <c r="K18" s="40"/>
      <c r="L18" s="27"/>
      <c r="M18" s="40"/>
      <c r="N18" s="40"/>
      <c r="O18" s="40"/>
      <c r="P18" s="40"/>
      <c r="Q18" s="27"/>
      <c r="R18" s="40"/>
      <c r="S18" s="27"/>
      <c r="T18" s="27"/>
      <c r="U18" s="40"/>
      <c r="V18" s="40"/>
      <c r="W18" s="40"/>
      <c r="X18" s="27"/>
      <c r="Y18" s="40"/>
      <c r="Z18" s="39"/>
      <c r="AA18" s="40"/>
      <c r="AB18" s="40"/>
      <c r="AC18" s="40"/>
      <c r="AD18" s="40"/>
      <c r="AE18" s="27"/>
      <c r="AF18" s="40"/>
      <c r="AG18" s="205" t="str">
        <f t="shared" si="2"/>
        <v>out</v>
      </c>
      <c r="AH18" s="188"/>
      <c r="AI18" s="213"/>
      <c r="AJ18" s="214"/>
      <c r="AK18" s="209"/>
      <c r="AL18" s="209"/>
      <c r="AM18" s="209"/>
      <c r="AN18" s="208"/>
      <c r="AO18" s="209"/>
      <c r="AP18" s="209"/>
      <c r="AQ18" s="119"/>
    </row>
    <row r="19" spans="1:43" s="38" customFormat="1" ht="15" hidden="1" customHeight="1" outlineLevel="1" x14ac:dyDescent="0.2">
      <c r="A19" s="212" t="s">
        <v>74</v>
      </c>
      <c r="B19" s="40"/>
      <c r="C19" s="40"/>
      <c r="D19" s="40"/>
      <c r="E19" s="27"/>
      <c r="F19" s="40"/>
      <c r="G19" s="40"/>
      <c r="H19" s="40"/>
      <c r="I19" s="40"/>
      <c r="J19" s="27"/>
      <c r="K19" s="40"/>
      <c r="L19" s="27"/>
      <c r="M19" s="40"/>
      <c r="N19" s="40"/>
      <c r="O19" s="40"/>
      <c r="P19" s="40"/>
      <c r="Q19" s="27"/>
      <c r="R19" s="40"/>
      <c r="S19" s="27"/>
      <c r="T19" s="27"/>
      <c r="U19" s="40"/>
      <c r="V19" s="40"/>
      <c r="W19" s="40"/>
      <c r="X19" s="27"/>
      <c r="Y19" s="40"/>
      <c r="Z19" s="39"/>
      <c r="AA19" s="40"/>
      <c r="AB19" s="40"/>
      <c r="AC19" s="40"/>
      <c r="AD19" s="40"/>
      <c r="AE19" s="27"/>
      <c r="AF19" s="40"/>
      <c r="AG19" s="205" t="str">
        <f t="shared" si="2"/>
        <v>in</v>
      </c>
      <c r="AH19" s="188"/>
      <c r="AI19" s="213"/>
      <c r="AJ19" s="214"/>
      <c r="AK19" s="209"/>
      <c r="AL19" s="209"/>
      <c r="AM19" s="209"/>
      <c r="AN19" s="208"/>
      <c r="AO19" s="209"/>
      <c r="AP19" s="209"/>
      <c r="AQ19" s="119"/>
    </row>
    <row r="20" spans="1:43" s="38" customFormat="1" ht="15" hidden="1" customHeight="1" outlineLevel="1" x14ac:dyDescent="0.2">
      <c r="A20" s="212" t="s">
        <v>75</v>
      </c>
      <c r="B20" s="40"/>
      <c r="C20" s="40"/>
      <c r="D20" s="40"/>
      <c r="E20" s="27"/>
      <c r="F20" s="40"/>
      <c r="G20" s="40"/>
      <c r="H20" s="40"/>
      <c r="I20" s="40"/>
      <c r="J20" s="27"/>
      <c r="K20" s="40"/>
      <c r="L20" s="27"/>
      <c r="M20" s="40"/>
      <c r="N20" s="40"/>
      <c r="O20" s="40"/>
      <c r="P20" s="40"/>
      <c r="Q20" s="27"/>
      <c r="R20" s="40"/>
      <c r="S20" s="27"/>
      <c r="T20" s="27"/>
      <c r="U20" s="40"/>
      <c r="V20" s="40"/>
      <c r="W20" s="40"/>
      <c r="X20" s="27"/>
      <c r="Y20" s="40"/>
      <c r="Z20" s="39"/>
      <c r="AA20" s="40"/>
      <c r="AB20" s="40"/>
      <c r="AC20" s="40"/>
      <c r="AD20" s="40"/>
      <c r="AE20" s="27"/>
      <c r="AF20" s="40"/>
      <c r="AG20" s="205" t="str">
        <f t="shared" si="2"/>
        <v>out</v>
      </c>
      <c r="AH20" s="188"/>
      <c r="AI20" s="213"/>
      <c r="AJ20" s="214"/>
      <c r="AK20" s="209"/>
      <c r="AL20" s="209"/>
      <c r="AM20" s="209"/>
      <c r="AN20" s="208"/>
      <c r="AO20" s="209"/>
      <c r="AP20" s="209"/>
      <c r="AQ20" s="119"/>
    </row>
    <row r="21" spans="1:43" s="38" customFormat="1" ht="15" hidden="1" customHeight="1" outlineLevel="1" x14ac:dyDescent="0.2">
      <c r="A21" s="212" t="s">
        <v>74</v>
      </c>
      <c r="B21" s="40"/>
      <c r="C21" s="40"/>
      <c r="D21" s="40"/>
      <c r="E21" s="27"/>
      <c r="F21" s="40"/>
      <c r="G21" s="40"/>
      <c r="H21" s="40"/>
      <c r="I21" s="40"/>
      <c r="J21" s="27"/>
      <c r="K21" s="40"/>
      <c r="L21" s="27"/>
      <c r="M21" s="40"/>
      <c r="N21" s="40"/>
      <c r="O21" s="40"/>
      <c r="P21" s="40"/>
      <c r="Q21" s="27"/>
      <c r="R21" s="40"/>
      <c r="S21" s="27"/>
      <c r="T21" s="27"/>
      <c r="U21" s="40"/>
      <c r="V21" s="40"/>
      <c r="W21" s="40"/>
      <c r="X21" s="27"/>
      <c r="Y21" s="40"/>
      <c r="Z21" s="39"/>
      <c r="AA21" s="40"/>
      <c r="AB21" s="40"/>
      <c r="AC21" s="40"/>
      <c r="AD21" s="40"/>
      <c r="AE21" s="27"/>
      <c r="AF21" s="40"/>
      <c r="AG21" s="205" t="str">
        <f t="shared" si="2"/>
        <v>in</v>
      </c>
      <c r="AH21" s="188"/>
      <c r="AI21" s="213"/>
      <c r="AJ21" s="214"/>
      <c r="AK21" s="209"/>
      <c r="AL21" s="209"/>
      <c r="AM21" s="209"/>
      <c r="AN21" s="208"/>
      <c r="AO21" s="209"/>
      <c r="AP21" s="209"/>
      <c r="AQ21" s="119"/>
    </row>
    <row r="22" spans="1:43" s="38" customFormat="1" ht="15" hidden="1" customHeight="1" outlineLevel="1" x14ac:dyDescent="0.2">
      <c r="A22" s="212" t="s">
        <v>75</v>
      </c>
      <c r="B22" s="40"/>
      <c r="C22" s="40"/>
      <c r="D22" s="40"/>
      <c r="E22" s="27"/>
      <c r="F22" s="40"/>
      <c r="G22" s="40"/>
      <c r="H22" s="40"/>
      <c r="I22" s="40"/>
      <c r="J22" s="27"/>
      <c r="K22" s="40"/>
      <c r="L22" s="27"/>
      <c r="M22" s="40"/>
      <c r="N22" s="40"/>
      <c r="O22" s="40"/>
      <c r="P22" s="40"/>
      <c r="Q22" s="27"/>
      <c r="R22" s="40"/>
      <c r="S22" s="27"/>
      <c r="T22" s="27"/>
      <c r="U22" s="40"/>
      <c r="V22" s="40"/>
      <c r="W22" s="40"/>
      <c r="X22" s="27"/>
      <c r="Y22" s="40"/>
      <c r="Z22" s="39"/>
      <c r="AA22" s="40"/>
      <c r="AB22" s="40"/>
      <c r="AC22" s="40"/>
      <c r="AD22" s="40"/>
      <c r="AE22" s="27"/>
      <c r="AF22" s="40"/>
      <c r="AG22" s="205" t="str">
        <f t="shared" si="2"/>
        <v>out</v>
      </c>
      <c r="AH22" s="188"/>
      <c r="AI22" s="213"/>
      <c r="AJ22" s="214"/>
      <c r="AK22" s="209"/>
      <c r="AL22" s="209"/>
      <c r="AM22" s="209"/>
      <c r="AN22" s="208"/>
      <c r="AO22" s="209"/>
      <c r="AP22" s="209"/>
      <c r="AQ22" s="119"/>
    </row>
    <row r="23" spans="1:43" s="38" customFormat="1" ht="15" customHeight="1" collapsed="1" x14ac:dyDescent="0.2">
      <c r="A23" s="215" t="s">
        <v>204</v>
      </c>
      <c r="B23" s="216">
        <f>ROUND(((B14-B13)+(B16-B15)+(B18-B17)+(B20-B19)+(B22-B21))*1440,0)/1440</f>
        <v>0</v>
      </c>
      <c r="C23" s="216">
        <f t="shared" ref="C23:AF23" si="5">ROUND(((C14-C13)+(C16-C15)+(C18-C17)+(C20-C19)+(C22-C21))*1440,0)/1440</f>
        <v>0</v>
      </c>
      <c r="D23" s="216">
        <f t="shared" si="5"/>
        <v>0</v>
      </c>
      <c r="E23" s="216">
        <f t="shared" si="5"/>
        <v>0</v>
      </c>
      <c r="F23" s="216">
        <f t="shared" si="5"/>
        <v>0</v>
      </c>
      <c r="G23" s="216">
        <f t="shared" si="5"/>
        <v>0</v>
      </c>
      <c r="H23" s="216">
        <f t="shared" si="5"/>
        <v>0</v>
      </c>
      <c r="I23" s="216">
        <f t="shared" si="5"/>
        <v>0</v>
      </c>
      <c r="J23" s="216">
        <f t="shared" si="5"/>
        <v>0</v>
      </c>
      <c r="K23" s="216">
        <f t="shared" si="5"/>
        <v>0</v>
      </c>
      <c r="L23" s="216">
        <f t="shared" si="5"/>
        <v>0</v>
      </c>
      <c r="M23" s="216">
        <f t="shared" si="5"/>
        <v>0</v>
      </c>
      <c r="N23" s="216">
        <f t="shared" si="5"/>
        <v>0</v>
      </c>
      <c r="O23" s="216">
        <f t="shared" si="5"/>
        <v>0</v>
      </c>
      <c r="P23" s="216">
        <f t="shared" si="5"/>
        <v>0</v>
      </c>
      <c r="Q23" s="216">
        <f t="shared" si="5"/>
        <v>0</v>
      </c>
      <c r="R23" s="216">
        <f t="shared" si="5"/>
        <v>0</v>
      </c>
      <c r="S23" s="216">
        <f t="shared" si="5"/>
        <v>0</v>
      </c>
      <c r="T23" s="216">
        <f t="shared" si="5"/>
        <v>0</v>
      </c>
      <c r="U23" s="216">
        <f t="shared" si="5"/>
        <v>0</v>
      </c>
      <c r="V23" s="216">
        <f t="shared" si="5"/>
        <v>0</v>
      </c>
      <c r="W23" s="216">
        <f t="shared" si="5"/>
        <v>0</v>
      </c>
      <c r="X23" s="216">
        <f t="shared" si="5"/>
        <v>0</v>
      </c>
      <c r="Y23" s="216">
        <f t="shared" si="5"/>
        <v>0</v>
      </c>
      <c r="Z23" s="216">
        <f t="shared" si="5"/>
        <v>0</v>
      </c>
      <c r="AA23" s="216">
        <f t="shared" si="5"/>
        <v>0</v>
      </c>
      <c r="AB23" s="216">
        <f t="shared" si="5"/>
        <v>0</v>
      </c>
      <c r="AC23" s="216">
        <f t="shared" si="5"/>
        <v>0</v>
      </c>
      <c r="AD23" s="216">
        <f t="shared" si="5"/>
        <v>0</v>
      </c>
      <c r="AE23" s="216">
        <f t="shared" si="5"/>
        <v>0</v>
      </c>
      <c r="AF23" s="216">
        <f t="shared" si="5"/>
        <v>0</v>
      </c>
      <c r="AG23" s="217" t="str">
        <f t="shared" si="2"/>
        <v>Total in/out</v>
      </c>
      <c r="AH23" s="218"/>
      <c r="AI23" s="219">
        <f>SUM(B23:AF23)</f>
        <v>0</v>
      </c>
      <c r="AJ23" s="214"/>
      <c r="AK23" s="209"/>
      <c r="AL23" s="209"/>
      <c r="AM23" s="209"/>
      <c r="AN23" s="208"/>
      <c r="AO23" s="209"/>
      <c r="AP23" s="209"/>
      <c r="AQ23" s="119"/>
    </row>
    <row r="24" spans="1:43" s="38" customFormat="1" ht="3.75" hidden="1" customHeight="1" outlineLevel="1" x14ac:dyDescent="0.2">
      <c r="A24" s="220"/>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2"/>
      <c r="AG24" s="205"/>
      <c r="AH24" s="188"/>
      <c r="AI24" s="213"/>
      <c r="AJ24" s="214"/>
      <c r="AK24" s="209"/>
      <c r="AL24" s="209"/>
      <c r="AM24" s="209"/>
      <c r="AN24" s="208"/>
      <c r="AO24" s="209"/>
      <c r="AP24" s="209"/>
      <c r="AQ24" s="119"/>
    </row>
    <row r="25" spans="1:43" s="38" customFormat="1" ht="15" hidden="1" customHeight="1" outlineLevel="1" x14ac:dyDescent="0.2">
      <c r="A25" s="212" t="s">
        <v>164</v>
      </c>
      <c r="B25" s="40"/>
      <c r="C25" s="40"/>
      <c r="D25" s="40"/>
      <c r="E25" s="77"/>
      <c r="F25" s="40"/>
      <c r="G25" s="40"/>
      <c r="H25" s="40"/>
      <c r="I25" s="40"/>
      <c r="J25" s="40"/>
      <c r="K25" s="40"/>
      <c r="L25" s="40"/>
      <c r="M25" s="40"/>
      <c r="N25" s="40"/>
      <c r="O25" s="40"/>
      <c r="P25" s="40"/>
      <c r="Q25" s="40"/>
      <c r="R25" s="40"/>
      <c r="S25" s="40"/>
      <c r="T25" s="40"/>
      <c r="U25" s="40"/>
      <c r="V25" s="40"/>
      <c r="W25" s="40"/>
      <c r="X25" s="40"/>
      <c r="Y25" s="40"/>
      <c r="Z25" s="47"/>
      <c r="AA25" s="40"/>
      <c r="AB25" s="40"/>
      <c r="AC25" s="40"/>
      <c r="AD25" s="40"/>
      <c r="AE25" s="40"/>
      <c r="AF25" s="40"/>
      <c r="AG25" s="205" t="str">
        <f t="shared" ref="AG25:AG30" si="6">A25</f>
        <v>paid break in</v>
      </c>
      <c r="AH25" s="188"/>
      <c r="AI25" s="213"/>
      <c r="AJ25" s="214"/>
      <c r="AK25" s="209"/>
      <c r="AL25" s="209"/>
      <c r="AM25" s="209"/>
      <c r="AN25" s="208"/>
      <c r="AO25" s="209"/>
      <c r="AP25" s="209"/>
      <c r="AQ25" s="119"/>
    </row>
    <row r="26" spans="1:43" s="38" customFormat="1" ht="15" hidden="1" customHeight="1" outlineLevel="1" x14ac:dyDescent="0.2">
      <c r="A26" s="212" t="s">
        <v>165</v>
      </c>
      <c r="B26" s="40"/>
      <c r="C26" s="40"/>
      <c r="D26" s="40"/>
      <c r="E26" s="40"/>
      <c r="F26" s="40"/>
      <c r="G26" s="40"/>
      <c r="H26" s="40"/>
      <c r="I26" s="40"/>
      <c r="J26" s="40"/>
      <c r="K26" s="40"/>
      <c r="L26" s="40"/>
      <c r="M26" s="40"/>
      <c r="N26" s="40"/>
      <c r="O26" s="40"/>
      <c r="P26" s="40"/>
      <c r="Q26" s="40"/>
      <c r="R26" s="40"/>
      <c r="S26" s="40"/>
      <c r="T26" s="40"/>
      <c r="U26" s="40"/>
      <c r="V26" s="40"/>
      <c r="W26" s="40"/>
      <c r="X26" s="40"/>
      <c r="Y26" s="40"/>
      <c r="Z26" s="47"/>
      <c r="AA26" s="40"/>
      <c r="AB26" s="40"/>
      <c r="AC26" s="40"/>
      <c r="AD26" s="40"/>
      <c r="AE26" s="40"/>
      <c r="AF26" s="40"/>
      <c r="AG26" s="205" t="str">
        <f t="shared" si="6"/>
        <v>paid break out</v>
      </c>
      <c r="AH26" s="188"/>
      <c r="AI26" s="213"/>
      <c r="AJ26" s="214"/>
      <c r="AK26" s="209"/>
      <c r="AL26" s="209"/>
      <c r="AM26" s="209"/>
      <c r="AN26" s="208"/>
      <c r="AO26" s="209"/>
      <c r="AP26" s="209"/>
      <c r="AQ26" s="119"/>
    </row>
    <row r="27" spans="1:43" s="38" customFormat="1" ht="15" hidden="1" customHeight="1" outlineLevel="1" x14ac:dyDescent="0.2">
      <c r="A27" s="212" t="s">
        <v>164</v>
      </c>
      <c r="B27" s="40"/>
      <c r="C27" s="40"/>
      <c r="D27" s="40"/>
      <c r="E27" s="40"/>
      <c r="F27" s="40"/>
      <c r="G27" s="40"/>
      <c r="H27" s="40"/>
      <c r="I27" s="40"/>
      <c r="J27" s="40"/>
      <c r="K27" s="40"/>
      <c r="L27" s="40"/>
      <c r="M27" s="40"/>
      <c r="N27" s="40"/>
      <c r="O27" s="40"/>
      <c r="P27" s="40"/>
      <c r="Q27" s="40"/>
      <c r="R27" s="40"/>
      <c r="S27" s="40"/>
      <c r="T27" s="40"/>
      <c r="U27" s="40"/>
      <c r="V27" s="40"/>
      <c r="W27" s="40"/>
      <c r="X27" s="40"/>
      <c r="Y27" s="40"/>
      <c r="Z27" s="47"/>
      <c r="AA27" s="40"/>
      <c r="AB27" s="40"/>
      <c r="AC27" s="40"/>
      <c r="AD27" s="40"/>
      <c r="AE27" s="40"/>
      <c r="AF27" s="40"/>
      <c r="AG27" s="205" t="str">
        <f t="shared" si="6"/>
        <v>paid break in</v>
      </c>
      <c r="AH27" s="188"/>
      <c r="AI27" s="213"/>
      <c r="AJ27" s="214"/>
      <c r="AK27" s="209"/>
      <c r="AL27" s="209"/>
      <c r="AM27" s="209"/>
      <c r="AN27" s="208"/>
      <c r="AO27" s="209"/>
      <c r="AP27" s="209"/>
      <c r="AQ27" s="119"/>
    </row>
    <row r="28" spans="1:43" s="38" customFormat="1" ht="15" hidden="1" customHeight="1" outlineLevel="1" x14ac:dyDescent="0.2">
      <c r="A28" s="212" t="s">
        <v>165</v>
      </c>
      <c r="B28" s="40"/>
      <c r="C28" s="40"/>
      <c r="D28" s="40"/>
      <c r="E28" s="40"/>
      <c r="F28" s="40"/>
      <c r="G28" s="40"/>
      <c r="H28" s="40"/>
      <c r="I28" s="40"/>
      <c r="J28" s="40"/>
      <c r="K28" s="40"/>
      <c r="L28" s="40"/>
      <c r="M28" s="40"/>
      <c r="N28" s="40"/>
      <c r="O28" s="40"/>
      <c r="P28" s="40"/>
      <c r="Q28" s="40"/>
      <c r="R28" s="40"/>
      <c r="S28" s="40"/>
      <c r="T28" s="40"/>
      <c r="U28" s="40"/>
      <c r="V28" s="40"/>
      <c r="W28" s="40"/>
      <c r="X28" s="40"/>
      <c r="Y28" s="40"/>
      <c r="Z28" s="47"/>
      <c r="AA28" s="40"/>
      <c r="AB28" s="40"/>
      <c r="AC28" s="40"/>
      <c r="AD28" s="40"/>
      <c r="AE28" s="40"/>
      <c r="AF28" s="40"/>
      <c r="AG28" s="205" t="str">
        <f t="shared" si="6"/>
        <v>paid break out</v>
      </c>
      <c r="AH28" s="188"/>
      <c r="AI28" s="213"/>
      <c r="AJ28" s="214"/>
      <c r="AK28" s="209"/>
      <c r="AL28" s="209"/>
      <c r="AM28" s="209"/>
      <c r="AN28" s="208"/>
      <c r="AO28" s="209"/>
      <c r="AP28" s="209"/>
      <c r="AQ28" s="119"/>
    </row>
    <row r="29" spans="1:43" s="38" customFormat="1" ht="15" hidden="1" customHeight="1" outlineLevel="1" x14ac:dyDescent="0.2">
      <c r="A29" s="212" t="s">
        <v>164</v>
      </c>
      <c r="B29" s="40"/>
      <c r="C29" s="40"/>
      <c r="D29" s="40"/>
      <c r="E29" s="40"/>
      <c r="F29" s="40"/>
      <c r="G29" s="40"/>
      <c r="H29" s="40"/>
      <c r="I29" s="40"/>
      <c r="J29" s="40"/>
      <c r="K29" s="40"/>
      <c r="L29" s="40"/>
      <c r="M29" s="40"/>
      <c r="N29" s="40"/>
      <c r="O29" s="40"/>
      <c r="P29" s="40"/>
      <c r="Q29" s="40"/>
      <c r="R29" s="40"/>
      <c r="S29" s="40"/>
      <c r="T29" s="40"/>
      <c r="U29" s="40"/>
      <c r="V29" s="40"/>
      <c r="W29" s="40"/>
      <c r="X29" s="40"/>
      <c r="Y29" s="40"/>
      <c r="Z29" s="47"/>
      <c r="AA29" s="40"/>
      <c r="AB29" s="40"/>
      <c r="AC29" s="40"/>
      <c r="AD29" s="40"/>
      <c r="AE29" s="40"/>
      <c r="AF29" s="40"/>
      <c r="AG29" s="205" t="str">
        <f t="shared" si="6"/>
        <v>paid break in</v>
      </c>
      <c r="AH29" s="188"/>
      <c r="AI29" s="213"/>
      <c r="AJ29" s="214"/>
      <c r="AK29" s="209"/>
      <c r="AL29" s="209"/>
      <c r="AM29" s="209"/>
      <c r="AN29" s="208"/>
      <c r="AO29" s="209"/>
      <c r="AP29" s="209"/>
      <c r="AQ29" s="119"/>
    </row>
    <row r="30" spans="1:43" s="38" customFormat="1" ht="15" hidden="1" customHeight="1" outlineLevel="1" x14ac:dyDescent="0.2">
      <c r="A30" s="212" t="s">
        <v>165</v>
      </c>
      <c r="B30" s="40"/>
      <c r="C30" s="40"/>
      <c r="D30" s="40"/>
      <c r="E30" s="40"/>
      <c r="F30" s="40"/>
      <c r="G30" s="40"/>
      <c r="H30" s="40"/>
      <c r="I30" s="40"/>
      <c r="J30" s="40"/>
      <c r="K30" s="40"/>
      <c r="L30" s="40"/>
      <c r="M30" s="40"/>
      <c r="N30" s="40"/>
      <c r="O30" s="40"/>
      <c r="P30" s="40"/>
      <c r="Q30" s="40"/>
      <c r="R30" s="40"/>
      <c r="S30" s="40"/>
      <c r="T30" s="40"/>
      <c r="U30" s="40"/>
      <c r="V30" s="40"/>
      <c r="W30" s="40"/>
      <c r="X30" s="40"/>
      <c r="Y30" s="40"/>
      <c r="Z30" s="47"/>
      <c r="AA30" s="40"/>
      <c r="AB30" s="40"/>
      <c r="AC30" s="40"/>
      <c r="AD30" s="40"/>
      <c r="AE30" s="40"/>
      <c r="AF30" s="40"/>
      <c r="AG30" s="205" t="str">
        <f t="shared" si="6"/>
        <v>paid break out</v>
      </c>
      <c r="AH30" s="188"/>
      <c r="AI30" s="213"/>
      <c r="AJ30" s="214"/>
      <c r="AK30" s="209"/>
      <c r="AL30" s="209"/>
      <c r="AM30" s="209"/>
      <c r="AN30" s="208"/>
      <c r="AO30" s="209"/>
      <c r="AP30" s="209"/>
      <c r="AQ30" s="119"/>
    </row>
    <row r="31" spans="1:43" s="38" customFormat="1" ht="3.75" hidden="1" customHeight="1" outlineLevel="1" x14ac:dyDescent="0.2">
      <c r="A31" s="220"/>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4"/>
      <c r="AG31" s="205"/>
      <c r="AH31" s="188"/>
      <c r="AI31" s="213"/>
      <c r="AJ31" s="214"/>
      <c r="AK31" s="209"/>
      <c r="AL31" s="209"/>
      <c r="AM31" s="209"/>
      <c r="AN31" s="208"/>
      <c r="AO31" s="209"/>
      <c r="AP31" s="209"/>
      <c r="AQ31" s="119"/>
    </row>
    <row r="32" spans="1:43" s="38" customFormat="1" ht="15" hidden="1" customHeight="1" outlineLevel="1" x14ac:dyDescent="0.2">
      <c r="A32" s="215" t="s">
        <v>205</v>
      </c>
      <c r="B32" s="225">
        <f>ROUND((IF(MAX(0,B15-B14)&lt;1/24/60*180,MAX(0,B15-B14),0)+IF(MAX(0,B17-B16)&lt;1/24/60*180,MAX(0,B17-B16),0)+IF(MAX(0,B19-B18)&lt;1/24/60*180,MAX(0,B19-B18),0)+IF(MAX(0,B21-B20)&lt;1/24/60*180,MAX(0,B21-B20))+MAX(0,B26-B25)+MAX(0,B28-B27)+MAX(0,B30-B29))*1440,0)/1440</f>
        <v>0</v>
      </c>
      <c r="C32" s="225">
        <f t="shared" ref="C32:AF32" si="7">ROUND((IF(MAX(0,C15-C14)&lt;1/24/60*180,MAX(0,C15-C14),0)+IF(MAX(0,C17-C16)&lt;1/24/60*180,MAX(0,C17-C16),0)+IF(MAX(0,C19-C18)&lt;1/24/60*180,MAX(0,C19-C18),0)+IF(MAX(0,C21-C20)&lt;1/24/60*180,MAX(0,C21-C20))+MAX(0,C26-C25)+MAX(0,C28-C27)+MAX(0,C30-C29))*1440,0)/1440</f>
        <v>0</v>
      </c>
      <c r="D32" s="225">
        <f t="shared" si="7"/>
        <v>0</v>
      </c>
      <c r="E32" s="225">
        <f t="shared" si="7"/>
        <v>0</v>
      </c>
      <c r="F32" s="225">
        <f t="shared" si="7"/>
        <v>0</v>
      </c>
      <c r="G32" s="225">
        <f t="shared" si="7"/>
        <v>0</v>
      </c>
      <c r="H32" s="225">
        <f t="shared" si="7"/>
        <v>0</v>
      </c>
      <c r="I32" s="225">
        <f t="shared" si="7"/>
        <v>0</v>
      </c>
      <c r="J32" s="225">
        <f t="shared" si="7"/>
        <v>0</v>
      </c>
      <c r="K32" s="225">
        <f t="shared" si="7"/>
        <v>0</v>
      </c>
      <c r="L32" s="225">
        <f t="shared" si="7"/>
        <v>0</v>
      </c>
      <c r="M32" s="225">
        <f t="shared" si="7"/>
        <v>0</v>
      </c>
      <c r="N32" s="225">
        <f t="shared" si="7"/>
        <v>0</v>
      </c>
      <c r="O32" s="225">
        <f t="shared" si="7"/>
        <v>0</v>
      </c>
      <c r="P32" s="225">
        <f t="shared" si="7"/>
        <v>0</v>
      </c>
      <c r="Q32" s="225">
        <f t="shared" si="7"/>
        <v>0</v>
      </c>
      <c r="R32" s="225">
        <f t="shared" si="7"/>
        <v>0</v>
      </c>
      <c r="S32" s="225">
        <f t="shared" si="7"/>
        <v>0</v>
      </c>
      <c r="T32" s="225">
        <f t="shared" si="7"/>
        <v>0</v>
      </c>
      <c r="U32" s="225">
        <f t="shared" si="7"/>
        <v>0</v>
      </c>
      <c r="V32" s="225">
        <f t="shared" si="7"/>
        <v>0</v>
      </c>
      <c r="W32" s="225">
        <f t="shared" si="7"/>
        <v>0</v>
      </c>
      <c r="X32" s="225">
        <f t="shared" si="7"/>
        <v>0</v>
      </c>
      <c r="Y32" s="225">
        <f t="shared" si="7"/>
        <v>0</v>
      </c>
      <c r="Z32" s="225">
        <f t="shared" si="7"/>
        <v>0</v>
      </c>
      <c r="AA32" s="225">
        <f t="shared" si="7"/>
        <v>0</v>
      </c>
      <c r="AB32" s="225">
        <f t="shared" si="7"/>
        <v>0</v>
      </c>
      <c r="AC32" s="225">
        <f t="shared" si="7"/>
        <v>0</v>
      </c>
      <c r="AD32" s="225">
        <f t="shared" si="7"/>
        <v>0</v>
      </c>
      <c r="AE32" s="225">
        <f t="shared" si="7"/>
        <v>0</v>
      </c>
      <c r="AF32" s="225">
        <f t="shared" si="7"/>
        <v>0</v>
      </c>
      <c r="AG32" s="217" t="str">
        <f t="shared" ref="AG32" si="8">A32</f>
        <v>Total breaks (in out/paid)</v>
      </c>
      <c r="AH32" s="218"/>
      <c r="AI32" s="219">
        <f>SUM(B32:AF32)</f>
        <v>0</v>
      </c>
      <c r="AJ32" s="214"/>
      <c r="AK32" s="209"/>
      <c r="AL32" s="209"/>
      <c r="AM32" s="209"/>
      <c r="AN32" s="208"/>
      <c r="AO32" s="209"/>
      <c r="AP32" s="209"/>
      <c r="AQ32" s="119"/>
    </row>
    <row r="33" spans="1:43" s="38" customFormat="1" ht="3.75" customHeight="1" collapsed="1" x14ac:dyDescent="0.2">
      <c r="A33" s="220"/>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7"/>
      <c r="AG33" s="205"/>
      <c r="AH33" s="188"/>
      <c r="AI33" s="213"/>
      <c r="AJ33" s="214"/>
      <c r="AK33" s="209"/>
      <c r="AL33" s="209"/>
      <c r="AM33" s="209"/>
      <c r="AN33" s="208"/>
      <c r="AO33" s="209"/>
      <c r="AP33" s="209"/>
      <c r="AQ33" s="119"/>
    </row>
    <row r="34" spans="1:43" s="38" customFormat="1" ht="15" customHeight="1" outlineLevel="1" x14ac:dyDescent="0.2">
      <c r="A34" s="212" t="s">
        <v>206</v>
      </c>
      <c r="B34" s="92" t="str">
        <f ca="1">IF(EB.Anwendung&lt;&gt;"",IF(EB.Wochenarbeitszeit=50/24,INDEX(T.Pikett.Bereich,1),IF(DAY(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34="B",INDEX(T.Pikett.Bereich,4),IF(A34="E",INDEX(T.Pikett.Bereich,1),A34)))),"")</f>
        <v>No</v>
      </c>
      <c r="C34" s="92" t="str">
        <f ca="1">IF(EB.Anwendung&lt;&gt;"",IF(EB.Wochenarbeitszeit=50/24,INDEX(T.Pikett.Bereich,1),IF(DAY(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B34="B",INDEX(T.Pikett.Bereich,4),IF(B34="E",INDEX(T.Pikett.Bereich,1),B34)))),"")</f>
        <v>No</v>
      </c>
      <c r="D34" s="92" t="str">
        <f ca="1">IF(EB.Anwendung&lt;&gt;"",IF(EB.Wochenarbeitszeit=50/24,INDEX(T.Pikett.Bereich,1),IF(DAY(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C34="B",INDEX(T.Pikett.Bereich,4),IF(C34="E",INDEX(T.Pikett.Bereich,1),C34)))),"")</f>
        <v>No</v>
      </c>
      <c r="E34" s="92" t="str">
        <f ca="1">IF(EB.Anwendung&lt;&gt;"",IF(EB.Wochenarbeitszeit=50/24,INDEX(T.Pikett.Bereich,1),IF(DAY(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D34="B",INDEX(T.Pikett.Bereich,4),IF(D34="E",INDEX(T.Pikett.Bereich,1),D34)))),"")</f>
        <v>No</v>
      </c>
      <c r="F34" s="92" t="str">
        <f ca="1">IF(EB.Anwendung&lt;&gt;"",IF(EB.Wochenarbeitszeit=50/24,INDEX(T.Pikett.Bereich,1),IF(DAY(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E34="B",INDEX(T.Pikett.Bereich,4),IF(E34="E",INDEX(T.Pikett.Bereich,1),E34)))),"")</f>
        <v>No</v>
      </c>
      <c r="G34" s="92" t="str">
        <f ca="1">IF(EB.Anwendung&lt;&gt;"",IF(EB.Wochenarbeitszeit=50/24,INDEX(T.Pikett.Bereich,1),IF(DAY(G$10)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F34="B",INDEX(T.Pikett.Bereich,4),IF(F34="E",INDEX(T.Pikett.Bereich,1),F34)))),"")</f>
        <v>No</v>
      </c>
      <c r="H34" s="92" t="str">
        <f ca="1">IF(EB.Anwendung&lt;&gt;"",IF(EB.Wochenarbeitszeit=50/24,INDEX(T.Pikett.Bereich,1),IF(DAY(H$10)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G34="B",INDEX(T.Pikett.Bereich,4),IF(G34="E",INDEX(T.Pikett.Bereich,1),G34)))),"")</f>
        <v>No</v>
      </c>
      <c r="I34" s="92" t="str">
        <f ca="1">IF(EB.Anwendung&lt;&gt;"",IF(EB.Wochenarbeitszeit=50/24,INDEX(T.Pikett.Bereich,1),IF(DAY(I$10)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H34="B",INDEX(T.Pikett.Bereich,4),IF(H34="E",INDEX(T.Pikett.Bereich,1),H34)))),"")</f>
        <v>No</v>
      </c>
      <c r="J34" s="92" t="str">
        <f ca="1">IF(EB.Anwendung&lt;&gt;"",IF(EB.Wochenarbeitszeit=50/24,INDEX(T.Pikett.Bereich,1),IF(DAY(J$10)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I34="B",INDEX(T.Pikett.Bereich,4),IF(I34="E",INDEX(T.Pikett.Bereich,1),I34)))),"")</f>
        <v>No</v>
      </c>
      <c r="K34" s="92" t="str">
        <f ca="1">IF(EB.Anwendung&lt;&gt;"",IF(EB.Wochenarbeitszeit=50/24,INDEX(T.Pikett.Bereich,1),IF(DAY(K$10)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J34="B",INDEX(T.Pikett.Bereich,4),IF(J34="E",INDEX(T.Pikett.Bereich,1),J34)))),"")</f>
        <v>No</v>
      </c>
      <c r="L34" s="92" t="str">
        <f ca="1">IF(EB.Anwendung&lt;&gt;"",IF(EB.Wochenarbeitszeit=50/24,INDEX(T.Pikett.Bereich,1),IF(DAY(L$10)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K34="B",INDEX(T.Pikett.Bereich,4),IF(K34="E",INDEX(T.Pikett.Bereich,1),K34)))),"")</f>
        <v>No</v>
      </c>
      <c r="M34" s="92" t="str">
        <f ca="1">IF(EB.Anwendung&lt;&gt;"",IF(EB.Wochenarbeitszeit=50/24,INDEX(T.Pikett.Bereich,1),IF(DAY(M$10)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L34="B",INDEX(T.Pikett.Bereich,4),IF(L34="E",INDEX(T.Pikett.Bereich,1),L34)))),"")</f>
        <v>No</v>
      </c>
      <c r="N34" s="92" t="str">
        <f ca="1">IF(EB.Anwendung&lt;&gt;"",IF(EB.Wochenarbeitszeit=50/24,INDEX(T.Pikett.Bereich,1),IF(DAY(N$10)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M34="B",INDEX(T.Pikett.Bereich,4),IF(M34="E",INDEX(T.Pikett.Bereich,1),M34)))),"")</f>
        <v>No</v>
      </c>
      <c r="O34" s="92" t="str">
        <f ca="1">IF(EB.Anwendung&lt;&gt;"",IF(EB.Wochenarbeitszeit=50/24,INDEX(T.Pikett.Bereich,1),IF(DAY(O$10)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N34="B",INDEX(T.Pikett.Bereich,4),IF(N34="E",INDEX(T.Pikett.Bereich,1),N34)))),"")</f>
        <v>No</v>
      </c>
      <c r="P34" s="92" t="str">
        <f ca="1">IF(EB.Anwendung&lt;&gt;"",IF(EB.Wochenarbeitszeit=50/24,INDEX(T.Pikett.Bereich,1),IF(DAY(P$10)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O34="B",INDEX(T.Pikett.Bereich,4),IF(O34="E",INDEX(T.Pikett.Bereich,1),O34)))),"")</f>
        <v>No</v>
      </c>
      <c r="Q34" s="92" t="str">
        <f ca="1">IF(EB.Anwendung&lt;&gt;"",IF(EB.Wochenarbeitszeit=50/24,INDEX(T.Pikett.Bereich,1),IF(DAY(Q$10)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P34="B",INDEX(T.Pikett.Bereich,4),IF(P34="E",INDEX(T.Pikett.Bereich,1),P34)))),"")</f>
        <v>No</v>
      </c>
      <c r="R34" s="92" t="str">
        <f ca="1">IF(EB.Anwendung&lt;&gt;"",IF(EB.Wochenarbeitszeit=50/24,INDEX(T.Pikett.Bereich,1),IF(DAY(R$10)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Q34="B",INDEX(T.Pikett.Bereich,4),IF(Q34="E",INDEX(T.Pikett.Bereich,1),Q34)))),"")</f>
        <v>No</v>
      </c>
      <c r="S34" s="92" t="str">
        <f ca="1">IF(EB.Anwendung&lt;&gt;"",IF(EB.Wochenarbeitszeit=50/24,INDEX(T.Pikett.Bereich,1),IF(DAY(S$10)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R34="B",INDEX(T.Pikett.Bereich,4),IF(R34="E",INDEX(T.Pikett.Bereich,1),R34)))),"")</f>
        <v>No</v>
      </c>
      <c r="T34" s="92" t="str">
        <f ca="1">IF(EB.Anwendung&lt;&gt;"",IF(EB.Wochenarbeitszeit=50/24,INDEX(T.Pikett.Bereich,1),IF(DAY(T$10)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S34="B",INDEX(T.Pikett.Bereich,4),IF(S34="E",INDEX(T.Pikett.Bereich,1),S34)))),"")</f>
        <v>No</v>
      </c>
      <c r="U34" s="92" t="str">
        <f ca="1">IF(EB.Anwendung&lt;&gt;"",IF(EB.Wochenarbeitszeit=50/24,INDEX(T.Pikett.Bereich,1),IF(DAY(U$10)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T34="B",INDEX(T.Pikett.Bereich,4),IF(T34="E",INDEX(T.Pikett.Bereich,1),T34)))),"")</f>
        <v>No</v>
      </c>
      <c r="V34" s="92" t="str">
        <f ca="1">IF(EB.Anwendung&lt;&gt;"",IF(EB.Wochenarbeitszeit=50/24,INDEX(T.Pikett.Bereich,1),IF(DAY(V$10)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U34="B",INDEX(T.Pikett.Bereich,4),IF(U34="E",INDEX(T.Pikett.Bereich,1),U34)))),"")</f>
        <v>No</v>
      </c>
      <c r="W34" s="92" t="str">
        <f ca="1">IF(EB.Anwendung&lt;&gt;"",IF(EB.Wochenarbeitszeit=50/24,INDEX(T.Pikett.Bereich,1),IF(DAY(W$10)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V34="B",INDEX(T.Pikett.Bereich,4),IF(V34="E",INDEX(T.Pikett.Bereich,1),V34)))),"")</f>
        <v>No</v>
      </c>
      <c r="X34" s="92" t="str">
        <f ca="1">IF(EB.Anwendung&lt;&gt;"",IF(EB.Wochenarbeitszeit=50/24,INDEX(T.Pikett.Bereich,1),IF(DAY(X$10)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W34="B",INDEX(T.Pikett.Bereich,4),IF(W34="E",INDEX(T.Pikett.Bereich,1),W34)))),"")</f>
        <v>No</v>
      </c>
      <c r="Y34" s="92" t="str">
        <f ca="1">IF(EB.Anwendung&lt;&gt;"",IF(EB.Wochenarbeitszeit=50/24,INDEX(T.Pikett.Bereich,1),IF(DAY(Y$10)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X34="B",INDEX(T.Pikett.Bereich,4),IF(X34="E",INDEX(T.Pikett.Bereich,1),X34)))),"")</f>
        <v>No</v>
      </c>
      <c r="Z34" s="92" t="str">
        <f ca="1">IF(EB.Anwendung&lt;&gt;"",IF(EB.Wochenarbeitszeit=50/24,INDEX(T.Pikett.Bereich,1),IF(DAY(Z$10)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Y34="B",INDEX(T.Pikett.Bereich,4),IF(Y34="E",INDEX(T.Pikett.Bereich,1),Y34)))),"")</f>
        <v>No</v>
      </c>
      <c r="AA34" s="92" t="str">
        <f ca="1">IF(EB.Anwendung&lt;&gt;"",IF(EB.Wochenarbeitszeit=50/24,INDEX(T.Pikett.Bereich,1),IF(DAY(AA$10)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Z34="B",INDEX(T.Pikett.Bereich,4),IF(Z34="E",INDEX(T.Pikett.Bereich,1),Z34)))),"")</f>
        <v>No</v>
      </c>
      <c r="AB34" s="92" t="str">
        <f ca="1">IF(EB.Anwendung&lt;&gt;"",IF(EB.Wochenarbeitszeit=50/24,INDEX(T.Pikett.Bereich,1),IF(DAY(A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A34="B",INDEX(T.Pikett.Bereich,4),IF(AA34="E",INDEX(T.Pikett.Bereich,1),AA34)))),"")</f>
        <v>No</v>
      </c>
      <c r="AC34" s="92" t="str">
        <f ca="1">IF(EB.Anwendung&lt;&gt;"",IF(EB.Wochenarbeitszeit=50/24,INDEX(T.Pikett.Bereich,1),IF(DAY(A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B34="B",INDEX(T.Pikett.Bereich,4),IF(AB34="E",INDEX(T.Pikett.Bereich,1),AB34)))),"")</f>
        <v>No</v>
      </c>
      <c r="AD34" s="92" t="str">
        <f ca="1">IF(EB.Anwendung&lt;&gt;"",IF(EB.Wochenarbeitszeit=50/24,INDEX(T.Pikett.Bereich,1),IF(DAY(A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C34="B",INDEX(T.Pikett.Bereich,4),IF(AC34="E",INDEX(T.Pikett.Bereich,1),AC34)))),"")</f>
        <v>No</v>
      </c>
      <c r="AE34" s="92" t="str">
        <f ca="1">IF(EB.Anwendung&lt;&gt;"",IF(EB.Wochenarbeitszeit=50/24,INDEX(T.Pikett.Bereich,1),IF(DAY(A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D34="B",INDEX(T.Pikett.Bereich,4),IF(AD34="E",INDEX(T.Pikett.Bereich,1),AD34)))),"")</f>
        <v>No</v>
      </c>
      <c r="AF34" s="92" t="str">
        <f ca="1">IF(EB.Anwendung&lt;&gt;"",IF(EB.Wochenarbeitszeit=50/24,INDEX(T.Pikett.Bereich,1),IF(DAY(A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E34="B",INDEX(T.Pikett.Bereich,4),IF(AE34="E",INDEX(T.Pikett.Bereich,1),AE34)))),"")</f>
        <v>No</v>
      </c>
      <c r="AG34" s="217" t="str">
        <f ca="1">IF(OFFSET(B34,0,DAY(EOMONTH(Monat.Tag1,0))-1,1,1)="B",INDEX(T.Pikett.Bereich,4),IF(OFFSET(B34,0,DAY(EOMONTH(Monat.Tag1,0))-1,1,1)="E",INDEX(T.Pikett.Bereich,1),OFFSET(B34,0,DAY(EOMONTH(Monat.Tag1,0))-1,1,1)))</f>
        <v>No</v>
      </c>
      <c r="AH34" s="228"/>
      <c r="AI34" s="224"/>
      <c r="AJ34" s="229" t="str">
        <f ca="1">IF(T.50_Vetsuisse,IFERROR(SUMPRODUCT((B34:AF34=INDEX(T.Pikett.Bereich,4))*((B49:AF49)&lt;1/24*5)),0) &amp; " / " &amp; IFERROR(SUMPRODUCT((B34:AF34=INDEX(T.Pikett.Bereich,4))*((B49:AF49)&gt;=1/24*5)),0) &amp; " / " &amp; IFERROR(SUMPRODUCT((B34:AF34=INDEX(T.Pikett.Bereich,4))*((B49:AF49)&lt;1/24*5)),0) + IFERROR(SUMPRODUCT((B34:AF34=INDEX(T.Pikett.Bereich,4))*((B49:AF49)&gt;=1/24*5)),0),
IFERROR(SUMPRODUCT((B34:AF34=INDEX(T.Pikett.Bereich,4))*(WEEKDAY(B10:AF10,2)&lt;6)*(B11:AF11&lt;&gt;0)),0) &amp; " / " &amp; IFERROR(SUMPRODUCT((B34:AF34=INDEX(T.Pikett.Bereich,4))*(WEEKDAY(B10:AF10,2)&gt;5)*(B11:AF11&lt;&gt;0))+SUMPRODUCT((B34:AF34=INDEX(T.Pikett.Bereich,4))*(B11:AF11=0)),0) &amp; " / " &amp; IFERROR(SUMPRODUCT((B34:AF34=INDEX(T.Pikett.Bereich,4))*(WEEKDAY(B10:AF10,2)&lt;6)*(B11:AF11&lt;&gt;0)),0) + IFERROR(SUMPRODUCT((B34:AF34=INDEX(T.Pikett.Bereich,4))*(WEEKDAY(B10:AF10,2)&gt;5)*(B11:AF11&lt;&gt;0))+SUMPRODUCT((B34:AF34=INDEX(T.Pikett.Bereich,4))*(B11:AF11=0)),0))</f>
        <v>0 / 0 / 0</v>
      </c>
      <c r="AK34" s="209"/>
      <c r="AL34" s="209"/>
      <c r="AM34" s="209"/>
      <c r="AN34" s="208"/>
      <c r="AO34" s="209"/>
      <c r="AP34" s="209"/>
      <c r="AQ34" s="119"/>
    </row>
    <row r="35" spans="1:43" s="38" customFormat="1" ht="15" customHeight="1" outlineLevel="1" x14ac:dyDescent="0.2">
      <c r="A35" s="212" t="s">
        <v>74</v>
      </c>
      <c r="B35" s="40"/>
      <c r="C35" s="40"/>
      <c r="D35" s="40"/>
      <c r="E35" s="27"/>
      <c r="F35" s="40"/>
      <c r="G35" s="40"/>
      <c r="H35" s="40"/>
      <c r="I35" s="40"/>
      <c r="J35" s="27"/>
      <c r="K35" s="40"/>
      <c r="L35" s="27"/>
      <c r="M35" s="40"/>
      <c r="N35" s="40"/>
      <c r="O35" s="40"/>
      <c r="P35" s="40"/>
      <c r="Q35" s="27"/>
      <c r="R35" s="40"/>
      <c r="S35" s="27"/>
      <c r="T35" s="27"/>
      <c r="U35" s="40"/>
      <c r="V35" s="40"/>
      <c r="W35" s="40"/>
      <c r="X35" s="27"/>
      <c r="Y35" s="40"/>
      <c r="Z35" s="39"/>
      <c r="AA35" s="40"/>
      <c r="AB35" s="40"/>
      <c r="AC35" s="40"/>
      <c r="AD35" s="40"/>
      <c r="AE35" s="27"/>
      <c r="AF35" s="40"/>
      <c r="AG35" s="205" t="str">
        <f t="shared" si="2"/>
        <v>in</v>
      </c>
      <c r="AH35" s="188"/>
      <c r="AI35" s="213"/>
      <c r="AJ35" s="214"/>
      <c r="AK35" s="209"/>
      <c r="AL35" s="209"/>
      <c r="AM35" s="209"/>
      <c r="AN35" s="208"/>
      <c r="AO35" s="209"/>
      <c r="AP35" s="209"/>
      <c r="AQ35" s="119"/>
    </row>
    <row r="36" spans="1:43" s="38" customFormat="1" ht="15" customHeight="1" outlineLevel="1" x14ac:dyDescent="0.2">
      <c r="A36" s="212" t="s">
        <v>75</v>
      </c>
      <c r="B36" s="40"/>
      <c r="C36" s="40"/>
      <c r="D36" s="40"/>
      <c r="E36" s="27"/>
      <c r="F36" s="40"/>
      <c r="G36" s="40"/>
      <c r="H36" s="40"/>
      <c r="I36" s="40"/>
      <c r="J36" s="27"/>
      <c r="K36" s="40"/>
      <c r="L36" s="27"/>
      <c r="M36" s="40"/>
      <c r="N36" s="40"/>
      <c r="O36" s="40"/>
      <c r="P36" s="40"/>
      <c r="Q36" s="27"/>
      <c r="R36" s="40"/>
      <c r="S36" s="27"/>
      <c r="T36" s="27"/>
      <c r="U36" s="40"/>
      <c r="V36" s="40"/>
      <c r="W36" s="40"/>
      <c r="X36" s="27"/>
      <c r="Y36" s="40"/>
      <c r="Z36" s="39"/>
      <c r="AA36" s="40"/>
      <c r="AB36" s="40"/>
      <c r="AC36" s="40"/>
      <c r="AD36" s="40"/>
      <c r="AE36" s="27"/>
      <c r="AF36" s="40"/>
      <c r="AG36" s="205" t="str">
        <f t="shared" si="2"/>
        <v>out</v>
      </c>
      <c r="AH36" s="188"/>
      <c r="AI36" s="213"/>
      <c r="AJ36" s="214"/>
      <c r="AK36" s="209"/>
      <c r="AL36" s="209"/>
      <c r="AM36" s="209"/>
      <c r="AN36" s="208"/>
      <c r="AO36" s="209"/>
      <c r="AP36" s="209"/>
      <c r="AQ36" s="119"/>
    </row>
    <row r="37" spans="1:43" s="38" customFormat="1" ht="15" customHeight="1" outlineLevel="1" x14ac:dyDescent="0.2">
      <c r="A37" s="212" t="s">
        <v>74</v>
      </c>
      <c r="B37" s="40"/>
      <c r="C37" s="40"/>
      <c r="D37" s="40"/>
      <c r="E37" s="27"/>
      <c r="F37" s="40"/>
      <c r="G37" s="40"/>
      <c r="H37" s="40"/>
      <c r="I37" s="40"/>
      <c r="J37" s="27"/>
      <c r="K37" s="40"/>
      <c r="L37" s="27"/>
      <c r="M37" s="40"/>
      <c r="N37" s="40"/>
      <c r="O37" s="40"/>
      <c r="P37" s="40"/>
      <c r="Q37" s="27"/>
      <c r="R37" s="40"/>
      <c r="S37" s="27"/>
      <c r="T37" s="27"/>
      <c r="U37" s="40"/>
      <c r="V37" s="40"/>
      <c r="W37" s="40"/>
      <c r="X37" s="27"/>
      <c r="Y37" s="40"/>
      <c r="Z37" s="39"/>
      <c r="AA37" s="40"/>
      <c r="AB37" s="40"/>
      <c r="AC37" s="40"/>
      <c r="AD37" s="40"/>
      <c r="AE37" s="27"/>
      <c r="AF37" s="40"/>
      <c r="AG37" s="205" t="str">
        <f t="shared" si="2"/>
        <v>in</v>
      </c>
      <c r="AH37" s="188"/>
      <c r="AI37" s="213"/>
      <c r="AJ37" s="214"/>
      <c r="AK37" s="209"/>
      <c r="AL37" s="209"/>
      <c r="AM37" s="209"/>
      <c r="AN37" s="208"/>
      <c r="AO37" s="209"/>
      <c r="AP37" s="209"/>
      <c r="AQ37" s="119"/>
    </row>
    <row r="38" spans="1:43" s="38" customFormat="1" ht="15" customHeight="1" outlineLevel="1" x14ac:dyDescent="0.2">
      <c r="A38" s="212" t="s">
        <v>75</v>
      </c>
      <c r="B38" s="40"/>
      <c r="C38" s="40"/>
      <c r="D38" s="40"/>
      <c r="E38" s="27"/>
      <c r="F38" s="40"/>
      <c r="G38" s="40"/>
      <c r="H38" s="40"/>
      <c r="I38" s="40"/>
      <c r="J38" s="27"/>
      <c r="K38" s="40"/>
      <c r="L38" s="27"/>
      <c r="M38" s="40"/>
      <c r="N38" s="40"/>
      <c r="O38" s="40"/>
      <c r="P38" s="40"/>
      <c r="Q38" s="27"/>
      <c r="R38" s="40"/>
      <c r="S38" s="27"/>
      <c r="T38" s="27"/>
      <c r="U38" s="40"/>
      <c r="V38" s="40"/>
      <c r="W38" s="40"/>
      <c r="X38" s="27"/>
      <c r="Y38" s="40"/>
      <c r="Z38" s="39"/>
      <c r="AA38" s="40"/>
      <c r="AB38" s="40"/>
      <c r="AC38" s="40"/>
      <c r="AD38" s="40"/>
      <c r="AE38" s="27"/>
      <c r="AF38" s="40"/>
      <c r="AG38" s="205" t="str">
        <f t="shared" si="2"/>
        <v>out</v>
      </c>
      <c r="AH38" s="188"/>
      <c r="AI38" s="213"/>
      <c r="AJ38" s="214"/>
      <c r="AK38" s="209"/>
      <c r="AL38" s="209"/>
      <c r="AM38" s="209"/>
      <c r="AN38" s="208"/>
      <c r="AO38" s="209"/>
      <c r="AP38" s="209"/>
      <c r="AQ38" s="119"/>
    </row>
    <row r="39" spans="1:43" s="38" customFormat="1" ht="15" customHeight="1" outlineLevel="1" x14ac:dyDescent="0.2">
      <c r="A39" s="212" t="s">
        <v>74</v>
      </c>
      <c r="B39" s="40"/>
      <c r="C39" s="40"/>
      <c r="D39" s="40"/>
      <c r="E39" s="27"/>
      <c r="F39" s="40"/>
      <c r="G39" s="40"/>
      <c r="H39" s="40"/>
      <c r="I39" s="40"/>
      <c r="J39" s="27"/>
      <c r="K39" s="40"/>
      <c r="L39" s="27"/>
      <c r="M39" s="40"/>
      <c r="N39" s="40"/>
      <c r="O39" s="40"/>
      <c r="P39" s="40"/>
      <c r="Q39" s="27"/>
      <c r="R39" s="40"/>
      <c r="S39" s="27"/>
      <c r="T39" s="27"/>
      <c r="U39" s="40"/>
      <c r="V39" s="40"/>
      <c r="W39" s="40"/>
      <c r="X39" s="27"/>
      <c r="Y39" s="40"/>
      <c r="Z39" s="39"/>
      <c r="AA39" s="40"/>
      <c r="AB39" s="40"/>
      <c r="AC39" s="40"/>
      <c r="AD39" s="40"/>
      <c r="AE39" s="27"/>
      <c r="AF39" s="40"/>
      <c r="AG39" s="205" t="str">
        <f t="shared" si="2"/>
        <v>in</v>
      </c>
      <c r="AH39" s="188"/>
      <c r="AI39" s="213"/>
      <c r="AJ39" s="214"/>
      <c r="AK39" s="209"/>
      <c r="AL39" s="209"/>
      <c r="AM39" s="209"/>
      <c r="AN39" s="208"/>
      <c r="AO39" s="209"/>
      <c r="AP39" s="209"/>
      <c r="AQ39" s="119"/>
    </row>
    <row r="40" spans="1:43" s="38" customFormat="1" ht="15" customHeight="1" outlineLevel="1" x14ac:dyDescent="0.2">
      <c r="A40" s="212" t="s">
        <v>75</v>
      </c>
      <c r="B40" s="40"/>
      <c r="C40" s="40"/>
      <c r="D40" s="40"/>
      <c r="E40" s="27"/>
      <c r="F40" s="40"/>
      <c r="G40" s="40"/>
      <c r="H40" s="40"/>
      <c r="I40" s="40"/>
      <c r="J40" s="27"/>
      <c r="K40" s="40"/>
      <c r="L40" s="27"/>
      <c r="M40" s="40"/>
      <c r="N40" s="40"/>
      <c r="O40" s="40"/>
      <c r="P40" s="40"/>
      <c r="Q40" s="27"/>
      <c r="R40" s="40"/>
      <c r="S40" s="27"/>
      <c r="T40" s="27"/>
      <c r="U40" s="40"/>
      <c r="V40" s="40"/>
      <c r="W40" s="40"/>
      <c r="X40" s="27"/>
      <c r="Y40" s="40"/>
      <c r="Z40" s="39"/>
      <c r="AA40" s="40"/>
      <c r="AB40" s="40"/>
      <c r="AC40" s="40"/>
      <c r="AD40" s="40"/>
      <c r="AE40" s="27"/>
      <c r="AF40" s="40"/>
      <c r="AG40" s="205" t="str">
        <f t="shared" si="2"/>
        <v>out</v>
      </c>
      <c r="AH40" s="188"/>
      <c r="AI40" s="213"/>
      <c r="AJ40" s="214"/>
      <c r="AK40" s="209"/>
      <c r="AL40" s="209"/>
      <c r="AM40" s="209"/>
      <c r="AN40" s="208"/>
      <c r="AO40" s="209"/>
      <c r="AP40" s="209"/>
      <c r="AQ40" s="119"/>
    </row>
    <row r="41" spans="1:43" s="38" customFormat="1" ht="15" hidden="1" customHeight="1" outlineLevel="1" x14ac:dyDescent="0.2">
      <c r="A41" s="212" t="s">
        <v>74</v>
      </c>
      <c r="B41" s="40"/>
      <c r="C41" s="40"/>
      <c r="D41" s="40"/>
      <c r="E41" s="27"/>
      <c r="F41" s="40"/>
      <c r="G41" s="40"/>
      <c r="H41" s="40"/>
      <c r="I41" s="40"/>
      <c r="J41" s="27"/>
      <c r="K41" s="40"/>
      <c r="L41" s="27"/>
      <c r="M41" s="40"/>
      <c r="N41" s="40"/>
      <c r="O41" s="40"/>
      <c r="P41" s="40"/>
      <c r="Q41" s="27"/>
      <c r="R41" s="40"/>
      <c r="S41" s="27"/>
      <c r="T41" s="27"/>
      <c r="U41" s="40"/>
      <c r="V41" s="40"/>
      <c r="W41" s="40"/>
      <c r="X41" s="27"/>
      <c r="Y41" s="40"/>
      <c r="Z41" s="39"/>
      <c r="AA41" s="40"/>
      <c r="AB41" s="40"/>
      <c r="AC41" s="40"/>
      <c r="AD41" s="40"/>
      <c r="AE41" s="27"/>
      <c r="AF41" s="40"/>
      <c r="AG41" s="205" t="str">
        <f t="shared" si="2"/>
        <v>in</v>
      </c>
      <c r="AH41" s="188"/>
      <c r="AI41" s="213"/>
      <c r="AJ41" s="214"/>
      <c r="AK41" s="209"/>
      <c r="AL41" s="209"/>
      <c r="AM41" s="209"/>
      <c r="AN41" s="208"/>
      <c r="AO41" s="209"/>
      <c r="AP41" s="209"/>
      <c r="AQ41" s="119"/>
    </row>
    <row r="42" spans="1:43" s="38" customFormat="1" ht="15" hidden="1" customHeight="1" outlineLevel="1" x14ac:dyDescent="0.2">
      <c r="A42" s="212" t="s">
        <v>75</v>
      </c>
      <c r="B42" s="40"/>
      <c r="C42" s="40"/>
      <c r="D42" s="40"/>
      <c r="E42" s="27"/>
      <c r="F42" s="40"/>
      <c r="G42" s="40"/>
      <c r="H42" s="40"/>
      <c r="I42" s="40"/>
      <c r="J42" s="27"/>
      <c r="K42" s="40"/>
      <c r="L42" s="27"/>
      <c r="M42" s="40"/>
      <c r="N42" s="40"/>
      <c r="O42" s="40"/>
      <c r="P42" s="40"/>
      <c r="Q42" s="27"/>
      <c r="R42" s="40"/>
      <c r="S42" s="27"/>
      <c r="T42" s="27"/>
      <c r="U42" s="40"/>
      <c r="V42" s="40"/>
      <c r="W42" s="40"/>
      <c r="X42" s="27"/>
      <c r="Y42" s="40"/>
      <c r="Z42" s="39"/>
      <c r="AA42" s="40"/>
      <c r="AB42" s="40"/>
      <c r="AC42" s="40"/>
      <c r="AD42" s="40"/>
      <c r="AE42" s="27"/>
      <c r="AF42" s="40"/>
      <c r="AG42" s="205" t="str">
        <f t="shared" si="2"/>
        <v>out</v>
      </c>
      <c r="AH42" s="188"/>
      <c r="AI42" s="213"/>
      <c r="AJ42" s="214"/>
      <c r="AK42" s="209"/>
      <c r="AL42" s="209"/>
      <c r="AM42" s="209"/>
      <c r="AN42" s="208"/>
      <c r="AO42" s="209"/>
      <c r="AP42" s="209"/>
      <c r="AQ42" s="119"/>
    </row>
    <row r="43" spans="1:43" s="38" customFormat="1" ht="15" hidden="1" customHeight="1" outlineLevel="1" x14ac:dyDescent="0.2">
      <c r="A43" s="212" t="s">
        <v>74</v>
      </c>
      <c r="B43" s="40"/>
      <c r="C43" s="40"/>
      <c r="D43" s="40"/>
      <c r="E43" s="27"/>
      <c r="F43" s="40"/>
      <c r="G43" s="40"/>
      <c r="H43" s="40"/>
      <c r="I43" s="40"/>
      <c r="J43" s="27"/>
      <c r="K43" s="40"/>
      <c r="L43" s="27"/>
      <c r="M43" s="40"/>
      <c r="N43" s="40"/>
      <c r="O43" s="40"/>
      <c r="P43" s="40"/>
      <c r="Q43" s="27"/>
      <c r="R43" s="40"/>
      <c r="S43" s="27"/>
      <c r="T43" s="27"/>
      <c r="U43" s="40"/>
      <c r="V43" s="40"/>
      <c r="W43" s="40"/>
      <c r="X43" s="27"/>
      <c r="Y43" s="40"/>
      <c r="Z43" s="39"/>
      <c r="AA43" s="40"/>
      <c r="AB43" s="40"/>
      <c r="AC43" s="40"/>
      <c r="AD43" s="40"/>
      <c r="AE43" s="27"/>
      <c r="AF43" s="40"/>
      <c r="AG43" s="205" t="str">
        <f t="shared" si="2"/>
        <v>in</v>
      </c>
      <c r="AH43" s="188"/>
      <c r="AI43" s="213"/>
      <c r="AJ43" s="214"/>
      <c r="AK43" s="209"/>
      <c r="AL43" s="209"/>
      <c r="AM43" s="209"/>
      <c r="AN43" s="208"/>
      <c r="AO43" s="209"/>
      <c r="AP43" s="209"/>
      <c r="AQ43" s="119"/>
    </row>
    <row r="44" spans="1:43" s="38" customFormat="1" ht="15" hidden="1" customHeight="1" outlineLevel="1" x14ac:dyDescent="0.2">
      <c r="A44" s="212" t="s">
        <v>75</v>
      </c>
      <c r="B44" s="40"/>
      <c r="C44" s="40"/>
      <c r="D44" s="40"/>
      <c r="E44" s="27"/>
      <c r="F44" s="40"/>
      <c r="G44" s="40"/>
      <c r="H44" s="40"/>
      <c r="I44" s="40"/>
      <c r="J44" s="27"/>
      <c r="K44" s="40"/>
      <c r="L44" s="27"/>
      <c r="M44" s="40"/>
      <c r="N44" s="40"/>
      <c r="O44" s="40"/>
      <c r="P44" s="40"/>
      <c r="Q44" s="27"/>
      <c r="R44" s="40"/>
      <c r="S44" s="27"/>
      <c r="T44" s="27"/>
      <c r="U44" s="40"/>
      <c r="V44" s="40"/>
      <c r="W44" s="40"/>
      <c r="X44" s="27"/>
      <c r="Y44" s="40"/>
      <c r="Z44" s="39"/>
      <c r="AA44" s="40"/>
      <c r="AB44" s="40"/>
      <c r="AC44" s="40"/>
      <c r="AD44" s="40"/>
      <c r="AE44" s="27"/>
      <c r="AF44" s="40"/>
      <c r="AG44" s="205" t="str">
        <f t="shared" si="2"/>
        <v>out</v>
      </c>
      <c r="AH44" s="188"/>
      <c r="AI44" s="213"/>
      <c r="AJ44" s="214"/>
      <c r="AK44" s="209"/>
      <c r="AL44" s="209"/>
      <c r="AM44" s="209"/>
      <c r="AN44" s="208"/>
      <c r="AO44" s="209"/>
      <c r="AP44" s="209"/>
      <c r="AQ44" s="119"/>
    </row>
    <row r="45" spans="1:43" s="38" customFormat="1" ht="15" customHeight="1" outlineLevel="1" x14ac:dyDescent="0.2">
      <c r="A45" s="215" t="s">
        <v>207</v>
      </c>
      <c r="B45" s="216">
        <f>ROUND(((B36-B35)+(B38-B37)+(B40-B39)+(B42-B41)+(B44-B43))*1440,0)/1440</f>
        <v>0</v>
      </c>
      <c r="C45" s="216">
        <f t="shared" ref="C45:AF45" si="9">ROUND(((C36-C35)+(C38-C37)+(C40-C39)+(C42-C41)+(C44-C43))*1440,0)/1440</f>
        <v>0</v>
      </c>
      <c r="D45" s="216">
        <f t="shared" si="9"/>
        <v>0</v>
      </c>
      <c r="E45" s="216">
        <f t="shared" si="9"/>
        <v>0</v>
      </c>
      <c r="F45" s="216">
        <f t="shared" si="9"/>
        <v>0</v>
      </c>
      <c r="G45" s="216">
        <f t="shared" si="9"/>
        <v>0</v>
      </c>
      <c r="H45" s="216">
        <f t="shared" si="9"/>
        <v>0</v>
      </c>
      <c r="I45" s="216">
        <f t="shared" si="9"/>
        <v>0</v>
      </c>
      <c r="J45" s="216">
        <f t="shared" si="9"/>
        <v>0</v>
      </c>
      <c r="K45" s="216">
        <f t="shared" si="9"/>
        <v>0</v>
      </c>
      <c r="L45" s="216">
        <f t="shared" si="9"/>
        <v>0</v>
      </c>
      <c r="M45" s="216">
        <f t="shared" si="9"/>
        <v>0</v>
      </c>
      <c r="N45" s="216">
        <f t="shared" si="9"/>
        <v>0</v>
      </c>
      <c r="O45" s="216">
        <f t="shared" si="9"/>
        <v>0</v>
      </c>
      <c r="P45" s="216">
        <f t="shared" si="9"/>
        <v>0</v>
      </c>
      <c r="Q45" s="216">
        <f t="shared" si="9"/>
        <v>0</v>
      </c>
      <c r="R45" s="216">
        <f t="shared" si="9"/>
        <v>0</v>
      </c>
      <c r="S45" s="216">
        <f t="shared" si="9"/>
        <v>0</v>
      </c>
      <c r="T45" s="216">
        <f t="shared" si="9"/>
        <v>0</v>
      </c>
      <c r="U45" s="216">
        <f t="shared" si="9"/>
        <v>0</v>
      </c>
      <c r="V45" s="216">
        <f t="shared" si="9"/>
        <v>0</v>
      </c>
      <c r="W45" s="216">
        <f t="shared" si="9"/>
        <v>0</v>
      </c>
      <c r="X45" s="216">
        <f t="shared" si="9"/>
        <v>0</v>
      </c>
      <c r="Y45" s="216">
        <f t="shared" si="9"/>
        <v>0</v>
      </c>
      <c r="Z45" s="216">
        <f t="shared" si="9"/>
        <v>0</v>
      </c>
      <c r="AA45" s="216">
        <f t="shared" si="9"/>
        <v>0</v>
      </c>
      <c r="AB45" s="216">
        <f t="shared" si="9"/>
        <v>0</v>
      </c>
      <c r="AC45" s="216">
        <f t="shared" si="9"/>
        <v>0</v>
      </c>
      <c r="AD45" s="216">
        <f t="shared" si="9"/>
        <v>0</v>
      </c>
      <c r="AE45" s="216">
        <f t="shared" si="9"/>
        <v>0</v>
      </c>
      <c r="AF45" s="216">
        <f t="shared" si="9"/>
        <v>0</v>
      </c>
      <c r="AG45" s="217" t="str">
        <f t="shared" si="2"/>
        <v>Total on call standby in/out</v>
      </c>
      <c r="AH45" s="218"/>
      <c r="AI45" s="219">
        <f>SUM(B45:AF45)</f>
        <v>0</v>
      </c>
      <c r="AJ45" s="214"/>
      <c r="AK45" s="209"/>
      <c r="AL45" s="209"/>
      <c r="AM45" s="209"/>
      <c r="AN45" s="208"/>
      <c r="AO45" s="209"/>
      <c r="AP45" s="209"/>
      <c r="AQ45" s="119"/>
    </row>
    <row r="46" spans="1:43" s="38" customFormat="1" ht="3.75" customHeight="1" x14ac:dyDescent="0.2">
      <c r="A46" s="220"/>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213"/>
      <c r="AG46" s="205"/>
      <c r="AH46" s="188"/>
      <c r="AI46" s="213"/>
      <c r="AJ46" s="214"/>
      <c r="AK46" s="209"/>
      <c r="AL46" s="209"/>
      <c r="AM46" s="209"/>
      <c r="AN46" s="208"/>
      <c r="AO46" s="209"/>
      <c r="AP46" s="209"/>
      <c r="AQ46" s="119"/>
    </row>
    <row r="47" spans="1:43" s="38" customFormat="1" ht="16.5" hidden="1" customHeight="1" outlineLevel="1" x14ac:dyDescent="0.2">
      <c r="A47" s="215" t="s">
        <v>209</v>
      </c>
      <c r="B47" s="216">
        <f t="shared" ref="B47:AF47" si="10">IF(B45&gt;0,ROUND((B45-
IF(B35&lt;T.PikettVetsuissebis,MIN(T.PikettVetsuissebis-B35,B36-B35)+IF(B37&lt;T.PikettVetsuissebis,MIN(T.PikettVetsuissebis-B37,B38-B37)+IF(B39&lt;T.PikettVetsuissebis,MIN(T.PikettVetsuissebis-B39,B40-B39)+IF(B41&lt;T.PikettVetsuissebis,MIN(T.PikettVetsuissebis-B41,B42-B41)+IF(B43&lt;T.PikettVetsuissebis,MIN(T.PikettVetsuissebis-B43,B44-B43),0),0),0),0),0))*1440,0)/1440,0)</f>
        <v>0</v>
      </c>
      <c r="C47" s="216">
        <f t="shared" si="10"/>
        <v>0</v>
      </c>
      <c r="D47" s="216">
        <f t="shared" si="10"/>
        <v>0</v>
      </c>
      <c r="E47" s="216">
        <f t="shared" si="10"/>
        <v>0</v>
      </c>
      <c r="F47" s="216">
        <f t="shared" si="10"/>
        <v>0</v>
      </c>
      <c r="G47" s="216">
        <f t="shared" si="10"/>
        <v>0</v>
      </c>
      <c r="H47" s="216">
        <f t="shared" si="10"/>
        <v>0</v>
      </c>
      <c r="I47" s="216">
        <f t="shared" si="10"/>
        <v>0</v>
      </c>
      <c r="J47" s="216">
        <f t="shared" si="10"/>
        <v>0</v>
      </c>
      <c r="K47" s="216">
        <f t="shared" si="10"/>
        <v>0</v>
      </c>
      <c r="L47" s="216">
        <f t="shared" si="10"/>
        <v>0</v>
      </c>
      <c r="M47" s="216">
        <f t="shared" si="10"/>
        <v>0</v>
      </c>
      <c r="N47" s="216">
        <f t="shared" si="10"/>
        <v>0</v>
      </c>
      <c r="O47" s="216">
        <f t="shared" si="10"/>
        <v>0</v>
      </c>
      <c r="P47" s="216">
        <f t="shared" si="10"/>
        <v>0</v>
      </c>
      <c r="Q47" s="216">
        <f t="shared" si="10"/>
        <v>0</v>
      </c>
      <c r="R47" s="216">
        <f t="shared" si="10"/>
        <v>0</v>
      </c>
      <c r="S47" s="216">
        <f t="shared" si="10"/>
        <v>0</v>
      </c>
      <c r="T47" s="216">
        <f t="shared" si="10"/>
        <v>0</v>
      </c>
      <c r="U47" s="216">
        <f t="shared" si="10"/>
        <v>0</v>
      </c>
      <c r="V47" s="216">
        <f t="shared" si="10"/>
        <v>0</v>
      </c>
      <c r="W47" s="216">
        <f t="shared" si="10"/>
        <v>0</v>
      </c>
      <c r="X47" s="216">
        <f t="shared" si="10"/>
        <v>0</v>
      </c>
      <c r="Y47" s="216">
        <f t="shared" si="10"/>
        <v>0</v>
      </c>
      <c r="Z47" s="216">
        <f t="shared" si="10"/>
        <v>0</v>
      </c>
      <c r="AA47" s="216">
        <f t="shared" si="10"/>
        <v>0</v>
      </c>
      <c r="AB47" s="216">
        <f t="shared" si="10"/>
        <v>0</v>
      </c>
      <c r="AC47" s="216">
        <f t="shared" si="10"/>
        <v>0</v>
      </c>
      <c r="AD47" s="216">
        <f t="shared" si="10"/>
        <v>0</v>
      </c>
      <c r="AE47" s="216">
        <f t="shared" si="10"/>
        <v>0</v>
      </c>
      <c r="AF47" s="216">
        <f t="shared" si="10"/>
        <v>0</v>
      </c>
      <c r="AG47" s="217" t="str">
        <f t="shared" si="2"/>
        <v>Total on call hours today</v>
      </c>
      <c r="AH47" s="188"/>
      <c r="AI47" s="213"/>
      <c r="AJ47" s="214"/>
      <c r="AK47" s="209"/>
      <c r="AL47" s="209"/>
      <c r="AM47" s="209"/>
      <c r="AN47" s="208"/>
      <c r="AO47" s="209"/>
      <c r="AP47" s="209"/>
      <c r="AQ47" s="119"/>
    </row>
    <row r="48" spans="1:43" s="38" customFormat="1" ht="16.5" hidden="1" customHeight="1" outlineLevel="1" x14ac:dyDescent="0.2">
      <c r="A48" s="215" t="s">
        <v>208</v>
      </c>
      <c r="B48" s="225">
        <f t="shared" ref="B48:AF48" si="11">B45-B47</f>
        <v>0</v>
      </c>
      <c r="C48" s="225">
        <f t="shared" si="11"/>
        <v>0</v>
      </c>
      <c r="D48" s="225">
        <f t="shared" si="11"/>
        <v>0</v>
      </c>
      <c r="E48" s="225">
        <f t="shared" si="11"/>
        <v>0</v>
      </c>
      <c r="F48" s="225">
        <f t="shared" si="11"/>
        <v>0</v>
      </c>
      <c r="G48" s="225">
        <f t="shared" si="11"/>
        <v>0</v>
      </c>
      <c r="H48" s="225">
        <f t="shared" si="11"/>
        <v>0</v>
      </c>
      <c r="I48" s="225">
        <f t="shared" si="11"/>
        <v>0</v>
      </c>
      <c r="J48" s="225">
        <f t="shared" si="11"/>
        <v>0</v>
      </c>
      <c r="K48" s="225">
        <f t="shared" si="11"/>
        <v>0</v>
      </c>
      <c r="L48" s="225">
        <f t="shared" si="11"/>
        <v>0</v>
      </c>
      <c r="M48" s="225">
        <f t="shared" si="11"/>
        <v>0</v>
      </c>
      <c r="N48" s="225">
        <f t="shared" si="11"/>
        <v>0</v>
      </c>
      <c r="O48" s="225">
        <f t="shared" si="11"/>
        <v>0</v>
      </c>
      <c r="P48" s="225">
        <f t="shared" si="11"/>
        <v>0</v>
      </c>
      <c r="Q48" s="225">
        <f t="shared" si="11"/>
        <v>0</v>
      </c>
      <c r="R48" s="225">
        <f t="shared" si="11"/>
        <v>0</v>
      </c>
      <c r="S48" s="225">
        <f t="shared" si="11"/>
        <v>0</v>
      </c>
      <c r="T48" s="225">
        <f t="shared" si="11"/>
        <v>0</v>
      </c>
      <c r="U48" s="225">
        <f t="shared" si="11"/>
        <v>0</v>
      </c>
      <c r="V48" s="225">
        <f t="shared" si="11"/>
        <v>0</v>
      </c>
      <c r="W48" s="225">
        <f t="shared" si="11"/>
        <v>0</v>
      </c>
      <c r="X48" s="225">
        <f t="shared" si="11"/>
        <v>0</v>
      </c>
      <c r="Y48" s="225">
        <f t="shared" si="11"/>
        <v>0</v>
      </c>
      <c r="Z48" s="225">
        <f t="shared" si="11"/>
        <v>0</v>
      </c>
      <c r="AA48" s="225">
        <f t="shared" si="11"/>
        <v>0</v>
      </c>
      <c r="AB48" s="225">
        <f t="shared" si="11"/>
        <v>0</v>
      </c>
      <c r="AC48" s="225">
        <f t="shared" si="11"/>
        <v>0</v>
      </c>
      <c r="AD48" s="225">
        <f t="shared" si="11"/>
        <v>0</v>
      </c>
      <c r="AE48" s="225">
        <f t="shared" si="11"/>
        <v>0</v>
      </c>
      <c r="AF48" s="225">
        <f t="shared" si="11"/>
        <v>0</v>
      </c>
      <c r="AG48" s="217" t="str">
        <f t="shared" si="2"/>
        <v>Total on call hours yesterday</v>
      </c>
      <c r="AH48" s="188"/>
      <c r="AI48" s="213"/>
      <c r="AJ48" s="214"/>
      <c r="AK48" s="209"/>
      <c r="AL48" s="209"/>
      <c r="AM48" s="230">
        <f ca="1">IF(EB.Anwendung&lt;&gt;"",IF(MONTH(Monat.Tag1)=12,0,IF(MONTH(Monat.Tag1)=1,February!Monat.PikettgesternTag1,IF(MONTH(Monat.Tag1)=2,March!Monat.PikettgesternTag1,IF(MONTH(Monat.Tag1)=3,April!Monat.PikettgesternTag1,IF(MONTH(Monat.Tag1)=4,May!Monat.PikettgesternTag1,IF(MONTH(Monat.Tag1)=5,June!Monat.PikettgesternTag1,IF(MONTH(Monat.Tag1)=6,July!Monat.PikettgesternTag1,IF(MONTH(Monat.Tag1)=7,August!Monat.PikettgesternTag1,IF(MONTH(Monat.Tag1)=8,September!Monat.PikettgesternTag1,IF(MONTH(Monat.Tag1)=9,October!Monat.PikettgesternTag1,IF(MONTH(Monat.Tag1)=10,November!Monat.PikettgesternTag1,IF(MONTH(Monat.Tag1)=11,December!Monat.PikettgesternTag1,"")))))))))))),"")</f>
        <v>0</v>
      </c>
      <c r="AN48" s="208"/>
      <c r="AO48" s="209"/>
      <c r="AP48" s="209"/>
      <c r="AQ48" s="119"/>
    </row>
    <row r="49" spans="1:43" s="38" customFormat="1" ht="16.5" hidden="1" customHeight="1" outlineLevel="1" x14ac:dyDescent="0.2">
      <c r="A49" s="215" t="s">
        <v>210</v>
      </c>
      <c r="B49" s="216">
        <f t="shared" ref="B49:AF49" si="12">B47+IF(B$10=EOMONTH(B$10,0),$AM48,C48)</f>
        <v>0</v>
      </c>
      <c r="C49" s="216">
        <f t="shared" si="12"/>
        <v>0</v>
      </c>
      <c r="D49" s="216">
        <f t="shared" si="12"/>
        <v>0</v>
      </c>
      <c r="E49" s="216">
        <f t="shared" si="12"/>
        <v>0</v>
      </c>
      <c r="F49" s="216">
        <f t="shared" si="12"/>
        <v>0</v>
      </c>
      <c r="G49" s="216">
        <f t="shared" si="12"/>
        <v>0</v>
      </c>
      <c r="H49" s="216">
        <f t="shared" si="12"/>
        <v>0</v>
      </c>
      <c r="I49" s="216">
        <f t="shared" si="12"/>
        <v>0</v>
      </c>
      <c r="J49" s="216">
        <f t="shared" si="12"/>
        <v>0</v>
      </c>
      <c r="K49" s="216">
        <f t="shared" si="12"/>
        <v>0</v>
      </c>
      <c r="L49" s="216">
        <f t="shared" si="12"/>
        <v>0</v>
      </c>
      <c r="M49" s="216">
        <f t="shared" si="12"/>
        <v>0</v>
      </c>
      <c r="N49" s="216">
        <f t="shared" si="12"/>
        <v>0</v>
      </c>
      <c r="O49" s="216">
        <f t="shared" si="12"/>
        <v>0</v>
      </c>
      <c r="P49" s="216">
        <f t="shared" si="12"/>
        <v>0</v>
      </c>
      <c r="Q49" s="216">
        <f t="shared" si="12"/>
        <v>0</v>
      </c>
      <c r="R49" s="216">
        <f t="shared" si="12"/>
        <v>0</v>
      </c>
      <c r="S49" s="216">
        <f t="shared" si="12"/>
        <v>0</v>
      </c>
      <c r="T49" s="216">
        <f t="shared" si="12"/>
        <v>0</v>
      </c>
      <c r="U49" s="216">
        <f t="shared" si="12"/>
        <v>0</v>
      </c>
      <c r="V49" s="216">
        <f t="shared" si="12"/>
        <v>0</v>
      </c>
      <c r="W49" s="216">
        <f t="shared" si="12"/>
        <v>0</v>
      </c>
      <c r="X49" s="216">
        <f t="shared" si="12"/>
        <v>0</v>
      </c>
      <c r="Y49" s="216">
        <f t="shared" si="12"/>
        <v>0</v>
      </c>
      <c r="Z49" s="216">
        <f t="shared" si="12"/>
        <v>0</v>
      </c>
      <c r="AA49" s="216">
        <f t="shared" si="12"/>
        <v>0</v>
      </c>
      <c r="AB49" s="216">
        <f t="shared" si="12"/>
        <v>0</v>
      </c>
      <c r="AC49" s="216">
        <f t="shared" si="12"/>
        <v>0</v>
      </c>
      <c r="AD49" s="216">
        <f t="shared" si="12"/>
        <v>0</v>
      </c>
      <c r="AE49" s="216">
        <f t="shared" si="12"/>
        <v>0</v>
      </c>
      <c r="AF49" s="216">
        <f t="shared" ca="1" si="12"/>
        <v>0</v>
      </c>
      <c r="AG49" s="217" t="str">
        <f t="shared" si="2"/>
        <v>Total on call standby hours</v>
      </c>
      <c r="AH49" s="218"/>
      <c r="AI49" s="219">
        <f ca="1">SUM(B49:AF49)</f>
        <v>0</v>
      </c>
      <c r="AJ49" s="214"/>
      <c r="AK49" s="209"/>
      <c r="AL49" s="209"/>
      <c r="AM49" s="209"/>
      <c r="AN49" s="208"/>
      <c r="AO49" s="209"/>
      <c r="AP49" s="209"/>
      <c r="AQ49" s="119"/>
    </row>
    <row r="50" spans="1:43" s="38" customFormat="1" ht="3.75" customHeight="1" collapsed="1" x14ac:dyDescent="0.2">
      <c r="A50" s="231"/>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2"/>
      <c r="AG50" s="232"/>
      <c r="AH50" s="233"/>
      <c r="AI50" s="222"/>
      <c r="AJ50" s="214"/>
      <c r="AK50" s="209"/>
      <c r="AL50" s="209"/>
      <c r="AM50" s="209"/>
      <c r="AN50" s="208"/>
      <c r="AO50" s="209"/>
      <c r="AP50" s="209"/>
      <c r="AQ50" s="119"/>
    </row>
    <row r="51" spans="1:43" s="38" customFormat="1" ht="15" customHeight="1" x14ac:dyDescent="0.2">
      <c r="A51" s="215" t="s">
        <v>76</v>
      </c>
      <c r="B51" s="234">
        <f>ROUND((B23+B45+B84+SUM(B86:B95)+IF(OR(T.50_Vetsuisse,T.ServiceCenterIrchel),B71,0))*1440,0)/1440</f>
        <v>0</v>
      </c>
      <c r="C51" s="234">
        <f t="shared" ref="C51:AF51" si="13">ROUND((C23+C45+C84+SUM(C86:C95)+IF(OR(T.50_Vetsuisse,T.ServiceCenterIrchel),C71,0))*1440,0)/1440</f>
        <v>0</v>
      </c>
      <c r="D51" s="234">
        <f t="shared" si="13"/>
        <v>0</v>
      </c>
      <c r="E51" s="235">
        <f t="shared" si="13"/>
        <v>0</v>
      </c>
      <c r="F51" s="234">
        <f t="shared" si="13"/>
        <v>0</v>
      </c>
      <c r="G51" s="234">
        <f t="shared" si="13"/>
        <v>0</v>
      </c>
      <c r="H51" s="234">
        <f t="shared" si="13"/>
        <v>0</v>
      </c>
      <c r="I51" s="234">
        <f t="shared" si="13"/>
        <v>0</v>
      </c>
      <c r="J51" s="236">
        <f t="shared" si="13"/>
        <v>0</v>
      </c>
      <c r="K51" s="234">
        <f t="shared" si="13"/>
        <v>0</v>
      </c>
      <c r="L51" s="236">
        <f t="shared" si="13"/>
        <v>0</v>
      </c>
      <c r="M51" s="234">
        <f t="shared" si="13"/>
        <v>0</v>
      </c>
      <c r="N51" s="234">
        <f t="shared" si="13"/>
        <v>0</v>
      </c>
      <c r="O51" s="234">
        <f t="shared" si="13"/>
        <v>0</v>
      </c>
      <c r="P51" s="234">
        <f t="shared" si="13"/>
        <v>0</v>
      </c>
      <c r="Q51" s="236">
        <f t="shared" si="13"/>
        <v>0</v>
      </c>
      <c r="R51" s="234">
        <f t="shared" si="13"/>
        <v>0</v>
      </c>
      <c r="S51" s="236">
        <f t="shared" si="13"/>
        <v>0</v>
      </c>
      <c r="T51" s="236">
        <f t="shared" si="13"/>
        <v>0</v>
      </c>
      <c r="U51" s="234">
        <f t="shared" si="13"/>
        <v>0</v>
      </c>
      <c r="V51" s="234">
        <f t="shared" si="13"/>
        <v>0</v>
      </c>
      <c r="W51" s="234">
        <f t="shared" si="13"/>
        <v>0</v>
      </c>
      <c r="X51" s="236">
        <f t="shared" si="13"/>
        <v>0</v>
      </c>
      <c r="Y51" s="234">
        <f t="shared" si="13"/>
        <v>0</v>
      </c>
      <c r="Z51" s="237">
        <f t="shared" si="13"/>
        <v>0</v>
      </c>
      <c r="AA51" s="234">
        <f t="shared" si="13"/>
        <v>0</v>
      </c>
      <c r="AB51" s="234">
        <f t="shared" si="13"/>
        <v>0</v>
      </c>
      <c r="AC51" s="234">
        <f t="shared" si="13"/>
        <v>0</v>
      </c>
      <c r="AD51" s="234">
        <f t="shared" si="13"/>
        <v>0</v>
      </c>
      <c r="AE51" s="236">
        <f t="shared" si="13"/>
        <v>0</v>
      </c>
      <c r="AF51" s="234">
        <f t="shared" si="13"/>
        <v>0</v>
      </c>
      <c r="AG51" s="217" t="str">
        <f t="shared" si="2"/>
        <v>Actual hours worked</v>
      </c>
      <c r="AH51" s="218"/>
      <c r="AI51" s="238">
        <f>SUM(B51:AF51)</f>
        <v>0</v>
      </c>
      <c r="AJ51" s="214"/>
      <c r="AK51" s="209"/>
      <c r="AL51" s="209"/>
      <c r="AM51" s="209"/>
      <c r="AN51" s="239">
        <f ca="1">IF(WEEKDAY(EOMONTH(Monat.Tag1,0),2)=7,0,MAX(0,SUM(OFFSET(B51,0,DAY(EOMONTH(Monat.Tag1,0))-WEEKDAY(EOMONTH(Monat.Tag1,0),2),1,WEEKDAY(EOMONTH(Monat.Tag1,0),2)))))</f>
        <v>0</v>
      </c>
      <c r="AO51" s="209"/>
      <c r="AP51" s="209"/>
      <c r="AQ51" s="119"/>
    </row>
    <row r="52" spans="1:43" s="38" customFormat="1" ht="15" customHeight="1" outlineLevel="1" x14ac:dyDescent="0.2">
      <c r="A52" s="212" t="s">
        <v>211</v>
      </c>
      <c r="B52" s="78">
        <f t="shared" ref="B52:AF52" ca="1" si="14">IF(B$12=0,0,ROUND(INDEX(Monat.RAZ1_7.Bereich,WEEKDAY(B$10,2))*B$11*1440,0)/1440)</f>
        <v>0</v>
      </c>
      <c r="C52" s="78">
        <f t="shared" ca="1" si="14"/>
        <v>0.35</v>
      </c>
      <c r="D52" s="79">
        <f t="shared" ca="1" si="14"/>
        <v>0.35</v>
      </c>
      <c r="E52" s="78">
        <f t="shared" ca="1" si="14"/>
        <v>0.35</v>
      </c>
      <c r="F52" s="79">
        <f t="shared" ca="1" si="14"/>
        <v>0.35</v>
      </c>
      <c r="G52" s="79">
        <f t="shared" ca="1" si="14"/>
        <v>0.35</v>
      </c>
      <c r="H52" s="79">
        <f t="shared" ca="1" si="14"/>
        <v>0</v>
      </c>
      <c r="I52" s="79">
        <f t="shared" ca="1" si="14"/>
        <v>0</v>
      </c>
      <c r="J52" s="78">
        <f t="shared" ca="1" si="14"/>
        <v>0.35</v>
      </c>
      <c r="K52" s="79">
        <f t="shared" ca="1" si="14"/>
        <v>0.35</v>
      </c>
      <c r="L52" s="78">
        <f t="shared" ca="1" si="14"/>
        <v>0.35</v>
      </c>
      <c r="M52" s="79">
        <f t="shared" ca="1" si="14"/>
        <v>0.35</v>
      </c>
      <c r="N52" s="79">
        <f t="shared" ca="1" si="14"/>
        <v>0.35</v>
      </c>
      <c r="O52" s="79">
        <f t="shared" ca="1" si="14"/>
        <v>0</v>
      </c>
      <c r="P52" s="79">
        <f t="shared" ca="1" si="14"/>
        <v>0</v>
      </c>
      <c r="Q52" s="78">
        <f t="shared" ca="1" si="14"/>
        <v>0.35</v>
      </c>
      <c r="R52" s="79">
        <f t="shared" ca="1" si="14"/>
        <v>0.35</v>
      </c>
      <c r="S52" s="78">
        <f t="shared" ca="1" si="14"/>
        <v>0.35</v>
      </c>
      <c r="T52" s="78">
        <f t="shared" ca="1" si="14"/>
        <v>0.35</v>
      </c>
      <c r="U52" s="79">
        <f t="shared" ca="1" si="14"/>
        <v>0.35</v>
      </c>
      <c r="V52" s="79">
        <f t="shared" ca="1" si="14"/>
        <v>0</v>
      </c>
      <c r="W52" s="79">
        <f t="shared" ca="1" si="14"/>
        <v>0</v>
      </c>
      <c r="X52" s="78">
        <f t="shared" ca="1" si="14"/>
        <v>0.35</v>
      </c>
      <c r="Y52" s="79">
        <f t="shared" ca="1" si="14"/>
        <v>0.35</v>
      </c>
      <c r="Z52" s="80">
        <f t="shared" ca="1" si="14"/>
        <v>0.35</v>
      </c>
      <c r="AA52" s="79">
        <f t="shared" ca="1" si="14"/>
        <v>0.35</v>
      </c>
      <c r="AB52" s="79">
        <f t="shared" ca="1" si="14"/>
        <v>0.35</v>
      </c>
      <c r="AC52" s="79">
        <f t="shared" ca="1" si="14"/>
        <v>0</v>
      </c>
      <c r="AD52" s="79">
        <f t="shared" ca="1" si="14"/>
        <v>0</v>
      </c>
      <c r="AE52" s="78">
        <f t="shared" ca="1" si="14"/>
        <v>0.35</v>
      </c>
      <c r="AF52" s="79">
        <f t="shared" ca="1" si="14"/>
        <v>0.35</v>
      </c>
      <c r="AG52" s="240" t="str">
        <f t="shared" si="2"/>
        <v>Standardized hours (Info)</v>
      </c>
      <c r="AH52" s="218"/>
      <c r="AI52" s="213"/>
      <c r="AJ52" s="214"/>
      <c r="AK52" s="209"/>
      <c r="AL52" s="209"/>
      <c r="AM52" s="209"/>
      <c r="AN52" s="208"/>
      <c r="AO52" s="209"/>
      <c r="AP52" s="209"/>
      <c r="AQ52" s="119"/>
    </row>
    <row r="53" spans="1:43" s="38" customFormat="1" ht="15" customHeight="1" x14ac:dyDescent="0.2">
      <c r="A53" s="212" t="s">
        <v>212</v>
      </c>
      <c r="B53" s="241">
        <f t="shared" ref="B53:AF53" ca="1" si="15">IF(B$12=0,0,ROUND(INDEX(EB.AZSOLLTag100.Bereich,MATCH(INDEX(EB.Monate.Bereich,MONTH(Monat.Tag1)),EB.Monate.Bereich,0))*B$11*IF(WEEKDAY(B$10,2)&gt;5,0,1)*$V$2/100*1440,0)/1440)</f>
        <v>0</v>
      </c>
      <c r="C53" s="241">
        <f t="shared" ca="1" si="15"/>
        <v>0.35</v>
      </c>
      <c r="D53" s="241">
        <f t="shared" ca="1" si="15"/>
        <v>0.35</v>
      </c>
      <c r="E53" s="241">
        <f t="shared" ca="1" si="15"/>
        <v>0.35</v>
      </c>
      <c r="F53" s="241">
        <f t="shared" ca="1" si="15"/>
        <v>0.35</v>
      </c>
      <c r="G53" s="241">
        <f t="shared" ca="1" si="15"/>
        <v>0.35</v>
      </c>
      <c r="H53" s="241">
        <f t="shared" ca="1" si="15"/>
        <v>0</v>
      </c>
      <c r="I53" s="241">
        <f t="shared" ca="1" si="15"/>
        <v>0</v>
      </c>
      <c r="J53" s="241">
        <f t="shared" ca="1" si="15"/>
        <v>0.35</v>
      </c>
      <c r="K53" s="241">
        <f t="shared" ca="1" si="15"/>
        <v>0.35</v>
      </c>
      <c r="L53" s="241">
        <f t="shared" ca="1" si="15"/>
        <v>0.35</v>
      </c>
      <c r="M53" s="241">
        <f t="shared" ca="1" si="15"/>
        <v>0.35</v>
      </c>
      <c r="N53" s="241">
        <f t="shared" ca="1" si="15"/>
        <v>0.35</v>
      </c>
      <c r="O53" s="241">
        <f t="shared" ca="1" si="15"/>
        <v>0</v>
      </c>
      <c r="P53" s="241">
        <f t="shared" ca="1" si="15"/>
        <v>0</v>
      </c>
      <c r="Q53" s="241">
        <f t="shared" ca="1" si="15"/>
        <v>0.35</v>
      </c>
      <c r="R53" s="241">
        <f t="shared" ca="1" si="15"/>
        <v>0.35</v>
      </c>
      <c r="S53" s="241">
        <f t="shared" ca="1" si="15"/>
        <v>0.35</v>
      </c>
      <c r="T53" s="241">
        <f t="shared" ca="1" si="15"/>
        <v>0.35</v>
      </c>
      <c r="U53" s="241">
        <f t="shared" ca="1" si="15"/>
        <v>0.35</v>
      </c>
      <c r="V53" s="241">
        <f t="shared" ca="1" si="15"/>
        <v>0</v>
      </c>
      <c r="W53" s="241">
        <f t="shared" ca="1" si="15"/>
        <v>0</v>
      </c>
      <c r="X53" s="241">
        <f t="shared" ca="1" si="15"/>
        <v>0.35</v>
      </c>
      <c r="Y53" s="241">
        <f t="shared" ca="1" si="15"/>
        <v>0.35</v>
      </c>
      <c r="Z53" s="241">
        <f t="shared" ca="1" si="15"/>
        <v>0.35</v>
      </c>
      <c r="AA53" s="241">
        <f t="shared" ca="1" si="15"/>
        <v>0.35</v>
      </c>
      <c r="AB53" s="241">
        <f t="shared" ca="1" si="15"/>
        <v>0.35</v>
      </c>
      <c r="AC53" s="241">
        <f t="shared" ca="1" si="15"/>
        <v>0</v>
      </c>
      <c r="AD53" s="241">
        <f t="shared" ca="1" si="15"/>
        <v>0</v>
      </c>
      <c r="AE53" s="241">
        <f t="shared" ca="1" si="15"/>
        <v>0.35</v>
      </c>
      <c r="AF53" s="241">
        <f t="shared" ca="1" si="15"/>
        <v>0.35</v>
      </c>
      <c r="AG53" s="205" t="str">
        <f t="shared" si="2"/>
        <v>Req. hours of work FTE</v>
      </c>
      <c r="AH53" s="218"/>
      <c r="AI53" s="238">
        <f ca="1">SUM(B53:AF53)</f>
        <v>7.6999999999999966</v>
      </c>
      <c r="AJ53" s="214"/>
      <c r="AK53" s="209"/>
      <c r="AL53" s="209"/>
      <c r="AM53" s="209"/>
      <c r="AN53" s="208"/>
      <c r="AO53" s="209"/>
      <c r="AP53" s="209"/>
      <c r="AQ53" s="119"/>
    </row>
    <row r="54" spans="1:43" s="38" customFormat="1" ht="15" hidden="1" customHeight="1" outlineLevel="1" x14ac:dyDescent="0.2">
      <c r="A54" s="212" t="s">
        <v>213</v>
      </c>
      <c r="B54" s="241">
        <f t="shared" ref="B54:AF54" ca="1" si="16">ROUND(INDEX(EB.AZSOLLTag100.Bereich,MATCH(INDEX(EB.Monate.Bereich,MONTH(Monat.Tag1)),EB.Monate.Bereich,0))*B$11*IF(WEEKDAY(B$10,2)&gt;5,0,1)*1440,0)/1440</f>
        <v>0</v>
      </c>
      <c r="C54" s="241">
        <f t="shared" ca="1" si="16"/>
        <v>0.35</v>
      </c>
      <c r="D54" s="242">
        <f t="shared" ca="1" si="16"/>
        <v>0.35</v>
      </c>
      <c r="E54" s="241">
        <f t="shared" ca="1" si="16"/>
        <v>0.35</v>
      </c>
      <c r="F54" s="242">
        <f t="shared" ca="1" si="16"/>
        <v>0.35</v>
      </c>
      <c r="G54" s="242">
        <f t="shared" ca="1" si="16"/>
        <v>0.35</v>
      </c>
      <c r="H54" s="242">
        <f t="shared" ca="1" si="16"/>
        <v>0</v>
      </c>
      <c r="I54" s="242">
        <f t="shared" ca="1" si="16"/>
        <v>0</v>
      </c>
      <c r="J54" s="241">
        <f t="shared" ca="1" si="16"/>
        <v>0.35</v>
      </c>
      <c r="K54" s="242">
        <f t="shared" ca="1" si="16"/>
        <v>0.35</v>
      </c>
      <c r="L54" s="241">
        <f t="shared" ca="1" si="16"/>
        <v>0.35</v>
      </c>
      <c r="M54" s="242">
        <f t="shared" ca="1" si="16"/>
        <v>0.35</v>
      </c>
      <c r="N54" s="242">
        <f t="shared" ca="1" si="16"/>
        <v>0.35</v>
      </c>
      <c r="O54" s="242">
        <f t="shared" ca="1" si="16"/>
        <v>0</v>
      </c>
      <c r="P54" s="242">
        <f t="shared" ca="1" si="16"/>
        <v>0</v>
      </c>
      <c r="Q54" s="241">
        <f t="shared" ca="1" si="16"/>
        <v>0.35</v>
      </c>
      <c r="R54" s="242">
        <f t="shared" ca="1" si="16"/>
        <v>0.35</v>
      </c>
      <c r="S54" s="241">
        <f t="shared" ca="1" si="16"/>
        <v>0.35</v>
      </c>
      <c r="T54" s="241">
        <f t="shared" ca="1" si="16"/>
        <v>0.35</v>
      </c>
      <c r="U54" s="242">
        <f t="shared" ca="1" si="16"/>
        <v>0.35</v>
      </c>
      <c r="V54" s="242">
        <f t="shared" ca="1" si="16"/>
        <v>0</v>
      </c>
      <c r="W54" s="242">
        <f t="shared" ca="1" si="16"/>
        <v>0</v>
      </c>
      <c r="X54" s="241">
        <f t="shared" ca="1" si="16"/>
        <v>0.35</v>
      </c>
      <c r="Y54" s="242">
        <f t="shared" ca="1" si="16"/>
        <v>0.35</v>
      </c>
      <c r="Z54" s="243">
        <f t="shared" ca="1" si="16"/>
        <v>0.35</v>
      </c>
      <c r="AA54" s="242">
        <f t="shared" ca="1" si="16"/>
        <v>0.35</v>
      </c>
      <c r="AB54" s="242">
        <f t="shared" ca="1" si="16"/>
        <v>0.35</v>
      </c>
      <c r="AC54" s="242">
        <f t="shared" ca="1" si="16"/>
        <v>0</v>
      </c>
      <c r="AD54" s="242">
        <f t="shared" ca="1" si="16"/>
        <v>0</v>
      </c>
      <c r="AE54" s="241">
        <f t="shared" ca="1" si="16"/>
        <v>0.35</v>
      </c>
      <c r="AF54" s="242">
        <f t="shared" ca="1" si="16"/>
        <v>0.35</v>
      </c>
      <c r="AG54" s="205" t="str">
        <f t="shared" si="2"/>
        <v>Req. hours of work 100%</v>
      </c>
      <c r="AH54" s="218"/>
      <c r="AI54" s="238">
        <f ca="1">SUM(B54:AF54)</f>
        <v>7.6999999999999966</v>
      </c>
      <c r="AJ54" s="214"/>
      <c r="AK54" s="209"/>
      <c r="AL54" s="209"/>
      <c r="AM54" s="209"/>
      <c r="AN54" s="208"/>
      <c r="AO54" s="209"/>
      <c r="AP54" s="209"/>
      <c r="AQ54" s="119"/>
    </row>
    <row r="55" spans="1:43" s="38" customFormat="1" ht="15" customHeight="1" collapsed="1" x14ac:dyDescent="0.2">
      <c r="A55" s="244" t="s">
        <v>77</v>
      </c>
      <c r="B55" s="234">
        <f ca="1">ROUND((B51-B53)*1440,0)/1440</f>
        <v>0</v>
      </c>
      <c r="C55" s="234">
        <f t="shared" ref="C55:AF55" ca="1" si="17">ROUND((C51-C53)*1440,0)/1440</f>
        <v>-0.35</v>
      </c>
      <c r="D55" s="234">
        <f t="shared" ca="1" si="17"/>
        <v>-0.35</v>
      </c>
      <c r="E55" s="236">
        <f t="shared" ca="1" si="17"/>
        <v>-0.35</v>
      </c>
      <c r="F55" s="234">
        <f t="shared" ca="1" si="17"/>
        <v>-0.35</v>
      </c>
      <c r="G55" s="234">
        <f t="shared" ca="1" si="17"/>
        <v>-0.35</v>
      </c>
      <c r="H55" s="234">
        <f t="shared" ca="1" si="17"/>
        <v>0</v>
      </c>
      <c r="I55" s="234">
        <f t="shared" ca="1" si="17"/>
        <v>0</v>
      </c>
      <c r="J55" s="236">
        <f t="shared" ca="1" si="17"/>
        <v>-0.35</v>
      </c>
      <c r="K55" s="234">
        <f t="shared" ca="1" si="17"/>
        <v>-0.35</v>
      </c>
      <c r="L55" s="236">
        <f t="shared" ca="1" si="17"/>
        <v>-0.35</v>
      </c>
      <c r="M55" s="234">
        <f t="shared" ca="1" si="17"/>
        <v>-0.35</v>
      </c>
      <c r="N55" s="234">
        <f t="shared" ca="1" si="17"/>
        <v>-0.35</v>
      </c>
      <c r="O55" s="234">
        <f t="shared" ca="1" si="17"/>
        <v>0</v>
      </c>
      <c r="P55" s="234">
        <f t="shared" ca="1" si="17"/>
        <v>0</v>
      </c>
      <c r="Q55" s="236">
        <f t="shared" ca="1" si="17"/>
        <v>-0.35</v>
      </c>
      <c r="R55" s="234">
        <f t="shared" ca="1" si="17"/>
        <v>-0.35</v>
      </c>
      <c r="S55" s="236">
        <f t="shared" ca="1" si="17"/>
        <v>-0.35</v>
      </c>
      <c r="T55" s="236">
        <f t="shared" ca="1" si="17"/>
        <v>-0.35</v>
      </c>
      <c r="U55" s="234">
        <f t="shared" ca="1" si="17"/>
        <v>-0.35</v>
      </c>
      <c r="V55" s="234">
        <f t="shared" ca="1" si="17"/>
        <v>0</v>
      </c>
      <c r="W55" s="234">
        <f t="shared" ca="1" si="17"/>
        <v>0</v>
      </c>
      <c r="X55" s="236">
        <f t="shared" ca="1" si="17"/>
        <v>-0.35</v>
      </c>
      <c r="Y55" s="234">
        <f t="shared" ca="1" si="17"/>
        <v>-0.35</v>
      </c>
      <c r="Z55" s="237">
        <f t="shared" ca="1" si="17"/>
        <v>-0.35</v>
      </c>
      <c r="AA55" s="234">
        <f t="shared" ca="1" si="17"/>
        <v>-0.35</v>
      </c>
      <c r="AB55" s="234">
        <f t="shared" ca="1" si="17"/>
        <v>-0.35</v>
      </c>
      <c r="AC55" s="234">
        <f t="shared" ca="1" si="17"/>
        <v>0</v>
      </c>
      <c r="AD55" s="234">
        <f t="shared" ca="1" si="17"/>
        <v>0</v>
      </c>
      <c r="AE55" s="236">
        <f t="shared" ca="1" si="17"/>
        <v>-0.35</v>
      </c>
      <c r="AF55" s="234">
        <f t="shared" ca="1" si="17"/>
        <v>-0.35</v>
      </c>
      <c r="AG55" s="205" t="str">
        <f t="shared" si="2"/>
        <v>+/- required/actual hours daily</v>
      </c>
      <c r="AH55" s="218"/>
      <c r="AI55" s="238">
        <f ca="1">SUM(B55:AF55)</f>
        <v>-7.6999999999999966</v>
      </c>
      <c r="AJ55" s="214"/>
      <c r="AK55" s="209"/>
      <c r="AL55" s="245">
        <f ca="1">IF(EB.Anwendung&lt;&gt;"",IF(MONTH(Monat.Tag1)=1,0,IF(MONTH(Monat.Tag1)=2,January!Monat.Soll_Ist_UeVM,IF(MONTH(Monat.Tag1)=3,February!Monat.Soll_Ist_UeVM,IF(MONTH(Monat.Tag1)=4,March!Monat.Soll_Ist_UeVM,IF(MONTH(Monat.Tag1)=5,April!Monat.Soll_Ist_UeVM,IF(MONTH(Monat.Tag1)=6,May!Monat.Soll_Ist_UeVM,IF(MONTH(Monat.Tag1)=7,June!Monat.Soll_Ist_UeVM,IF(MONTH(Monat.Tag1)=8,July!Monat.Soll_Ist_UeVM,IF(MONTH(Monat.Tag1)=9,August!Monat.Soll_Ist_UeVM,IF(MONTH(Monat.Tag1)=10,September!Monat.Soll_Ist_UeVM,IF(MONTH(Monat.Tag1)=11,October!Monat.Soll_Ist_UeVM,IF(MONTH(Monat.Tag1)=12,November!Monat.Soll_Ist_UeVM,"")))))))))))),"")</f>
        <v>-6.9999999999999973</v>
      </c>
      <c r="AM55" s="209"/>
      <c r="AN55" s="246">
        <f ca="1">IF(AH57="+",(AI55+AI57),(AI55-AI57))</f>
        <v>-7.6999999999999966</v>
      </c>
      <c r="AO55" s="246">
        <f ca="1">SUM(OFFSET(J.AZSaldo.Total,-12,0,MONTH(Monat.Tag1),1))</f>
        <v>-22.04999999999999</v>
      </c>
      <c r="AP55" s="246">
        <f ca="1">J.AZSaldo.Total</f>
        <v>-88.07499999999996</v>
      </c>
      <c r="AQ55" s="119"/>
    </row>
    <row r="56" spans="1:43" s="38" customFormat="1" ht="15" customHeight="1" x14ac:dyDescent="0.2">
      <c r="A56" s="244" t="s">
        <v>214</v>
      </c>
      <c r="B56" s="247">
        <f ca="1">IF(EB.Anwendung&lt;&gt;"",IF(DAY(B$10)=1,IF(MONTH(Monat.Tag1)=1,ROUND(EB.ÜVMMS*1440,0)/1440,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B$10&gt;TODAY(),EB.UJAustritt=""),0,B55),
IF(AND(B$10&gt;TODAY(),EB.UJAustritt=""),A56,A56+B55)),"")</f>
        <v>0</v>
      </c>
      <c r="C56" s="247">
        <f ca="1">IF(EB.Anwendung&lt;&gt;"",IF(DAY(C$10)=1,IF(MONTH(Monat.Tag1)=1,ROUND(EB.ÜVMMS*1440,0)/1440,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C$10&gt;TODAY(),EB.UJAustritt=""),0,C55),
IF(AND(C$10&gt;TODAY(),EB.UJAustritt=""),B56,B56+C55)),"")</f>
        <v>0</v>
      </c>
      <c r="D56" s="247">
        <f ca="1">IF(EB.Anwendung&lt;&gt;"",IF(DAY(D$10)=1,IF(MONTH(Monat.Tag1)=1,ROUND(EB.ÜVMMS*1440,0)/1440,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D$10&gt;TODAY(),EB.UJAustritt=""),0,D55),
IF(AND(D$10&gt;TODAY(),EB.UJAustritt=""),C56,C56+D55)),"")</f>
        <v>0</v>
      </c>
      <c r="E56" s="247">
        <f ca="1">IF(EB.Anwendung&lt;&gt;"",IF(DAY(E$10)=1,IF(MONTH(Monat.Tag1)=1,ROUND(EB.ÜVMMS*1440,0)/1440,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E$10&gt;TODAY(),EB.UJAustritt=""),0,E55),
IF(AND(E$10&gt;TODAY(),EB.UJAustritt=""),D56,D56+E55)),"")</f>
        <v>0</v>
      </c>
      <c r="F56" s="247">
        <f ca="1">IF(EB.Anwendung&lt;&gt;"",IF(DAY(F$10)=1,IF(MONTH(Monat.Tag1)=1,ROUND(EB.ÜVMMS*1440,0)/1440,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F$10&gt;TODAY(),EB.UJAustritt=""),0,F55),
IF(AND(F$10&gt;TODAY(),EB.UJAustritt=""),E56,E56+F55)),"")</f>
        <v>0</v>
      </c>
      <c r="G56" s="247">
        <f ca="1">IF(EB.Anwendung&lt;&gt;"",IF(DAY(G$10)=1,IF(MONTH(Monat.Tag1)=1,ROUND(EB.ÜVMMS*1440,0)/1440,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G$10&gt;TODAY(),EB.UJAustritt=""),0,G55),
IF(AND(G$10&gt;TODAY(),EB.UJAustritt=""),F56,F56+G55)),"")</f>
        <v>0</v>
      </c>
      <c r="H56" s="247">
        <f ca="1">IF(EB.Anwendung&lt;&gt;"",IF(DAY(H$10)=1,IF(MONTH(Monat.Tag1)=1,ROUND(EB.ÜVMMS*1440,0)/1440,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H$10&gt;TODAY(),EB.UJAustritt=""),0,H55),
IF(AND(H$10&gt;TODAY(),EB.UJAustritt=""),G56,G56+H55)),"")</f>
        <v>0</v>
      </c>
      <c r="I56" s="247">
        <f ca="1">IF(EB.Anwendung&lt;&gt;"",IF(DAY(I$10)=1,IF(MONTH(Monat.Tag1)=1,ROUND(EB.ÜVMMS*1440,0)/1440,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I$10&gt;TODAY(),EB.UJAustritt=""),0,I55),
IF(AND(I$10&gt;TODAY(),EB.UJAustritt=""),H56,H56+I55)),"")</f>
        <v>0</v>
      </c>
      <c r="J56" s="247">
        <f ca="1">IF(EB.Anwendung&lt;&gt;"",IF(DAY(J$10)=1,IF(MONTH(Monat.Tag1)=1,ROUND(EB.ÜVMMS*1440,0)/1440,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J$10&gt;TODAY(),EB.UJAustritt=""),0,J55),
IF(AND(J$10&gt;TODAY(),EB.UJAustritt=""),I56,I56+J55)),"")</f>
        <v>0</v>
      </c>
      <c r="K56" s="247">
        <f ca="1">IF(EB.Anwendung&lt;&gt;"",IF(DAY(K$10)=1,IF(MONTH(Monat.Tag1)=1,ROUND(EB.ÜVMMS*1440,0)/1440,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K$10&gt;TODAY(),EB.UJAustritt=""),0,K55),
IF(AND(K$10&gt;TODAY(),EB.UJAustritt=""),J56,J56+K55)),"")</f>
        <v>0</v>
      </c>
      <c r="L56" s="247">
        <f ca="1">IF(EB.Anwendung&lt;&gt;"",IF(DAY(L$10)=1,IF(MONTH(Monat.Tag1)=1,ROUND(EB.ÜVMMS*1440,0)/1440,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L$10&gt;TODAY(),EB.UJAustritt=""),0,L55),
IF(AND(L$10&gt;TODAY(),EB.UJAustritt=""),K56,K56+L55)),"")</f>
        <v>0</v>
      </c>
      <c r="M56" s="247">
        <f ca="1">IF(EB.Anwendung&lt;&gt;"",IF(DAY(M$10)=1,IF(MONTH(Monat.Tag1)=1,ROUND(EB.ÜVMMS*1440,0)/1440,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M$10&gt;TODAY(),EB.UJAustritt=""),0,M55),
IF(AND(M$10&gt;TODAY(),EB.UJAustritt=""),L56,L56+M55)),"")</f>
        <v>0</v>
      </c>
      <c r="N56" s="247">
        <f ca="1">IF(EB.Anwendung&lt;&gt;"",IF(DAY(N$10)=1,IF(MONTH(Monat.Tag1)=1,ROUND(EB.ÜVMMS*1440,0)/1440,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N$10&gt;TODAY(),EB.UJAustritt=""),0,N55),
IF(AND(N$10&gt;TODAY(),EB.UJAustritt=""),M56,M56+N55)),"")</f>
        <v>0</v>
      </c>
      <c r="O56" s="247">
        <f ca="1">IF(EB.Anwendung&lt;&gt;"",IF(DAY(O$10)=1,IF(MONTH(Monat.Tag1)=1,ROUND(EB.ÜVMMS*1440,0)/1440,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O$10&gt;TODAY(),EB.UJAustritt=""),0,O55),
IF(AND(O$10&gt;TODAY(),EB.UJAustritt=""),N56,N56+O55)),"")</f>
        <v>0</v>
      </c>
      <c r="P56" s="247">
        <f ca="1">IF(EB.Anwendung&lt;&gt;"",IF(DAY(P$10)=1,IF(MONTH(Monat.Tag1)=1,ROUND(EB.ÜVMMS*1440,0)/1440,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P$10&gt;TODAY(),EB.UJAustritt=""),0,P55),
IF(AND(P$10&gt;TODAY(),EB.UJAustritt=""),O56,O56+P55)),"")</f>
        <v>0</v>
      </c>
      <c r="Q56" s="247">
        <f ca="1">IF(EB.Anwendung&lt;&gt;"",IF(DAY(Q$10)=1,IF(MONTH(Monat.Tag1)=1,ROUND(EB.ÜVMMS*1440,0)/1440,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Q$10&gt;TODAY(),EB.UJAustritt=""),0,Q55),
IF(AND(Q$10&gt;TODAY(),EB.UJAustritt=""),P56,P56+Q55)),"")</f>
        <v>0</v>
      </c>
      <c r="R56" s="247">
        <f ca="1">IF(EB.Anwendung&lt;&gt;"",IF(DAY(R$10)=1,IF(MONTH(Monat.Tag1)=1,ROUND(EB.ÜVMMS*1440,0)/1440,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R$10&gt;TODAY(),EB.UJAustritt=""),0,R55),
IF(AND(R$10&gt;TODAY(),EB.UJAustritt=""),Q56,Q56+R55)),"")</f>
        <v>0</v>
      </c>
      <c r="S56" s="247">
        <f ca="1">IF(EB.Anwendung&lt;&gt;"",IF(DAY(S$10)=1,IF(MONTH(Monat.Tag1)=1,ROUND(EB.ÜVMMS*1440,0)/1440,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S$10&gt;TODAY(),EB.UJAustritt=""),0,S55),
IF(AND(S$10&gt;TODAY(),EB.UJAustritt=""),R56,R56+S55)),"")</f>
        <v>0</v>
      </c>
      <c r="T56" s="247">
        <f ca="1">IF(EB.Anwendung&lt;&gt;"",IF(DAY(T$10)=1,IF(MONTH(Monat.Tag1)=1,ROUND(EB.ÜVMMS*1440,0)/1440,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T$10&gt;TODAY(),EB.UJAustritt=""),0,T55),
IF(AND(T$10&gt;TODAY(),EB.UJAustritt=""),S56,S56+T55)),"")</f>
        <v>0</v>
      </c>
      <c r="U56" s="247">
        <f ca="1">IF(EB.Anwendung&lt;&gt;"",IF(DAY(U$10)=1,IF(MONTH(Monat.Tag1)=1,ROUND(EB.ÜVMMS*1440,0)/1440,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U$10&gt;TODAY(),EB.UJAustritt=""),0,U55),
IF(AND(U$10&gt;TODAY(),EB.UJAustritt=""),T56,T56+U55)),"")</f>
        <v>0</v>
      </c>
      <c r="V56" s="247">
        <f ca="1">IF(EB.Anwendung&lt;&gt;"",IF(DAY(V$10)=1,IF(MONTH(Monat.Tag1)=1,ROUND(EB.ÜVMMS*1440,0)/1440,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V$10&gt;TODAY(),EB.UJAustritt=""),0,V55),
IF(AND(V$10&gt;TODAY(),EB.UJAustritt=""),U56,U56+V55)),"")</f>
        <v>0</v>
      </c>
      <c r="W56" s="247">
        <f ca="1">IF(EB.Anwendung&lt;&gt;"",IF(DAY(W$10)=1,IF(MONTH(Monat.Tag1)=1,ROUND(EB.ÜVMMS*1440,0)/1440,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W$10&gt;TODAY(),EB.UJAustritt=""),0,W55),
IF(AND(W$10&gt;TODAY(),EB.UJAustritt=""),V56,V56+W55)),"")</f>
        <v>0</v>
      </c>
      <c r="X56" s="247">
        <f ca="1">IF(EB.Anwendung&lt;&gt;"",IF(DAY(X$10)=1,IF(MONTH(Monat.Tag1)=1,ROUND(EB.ÜVMMS*1440,0)/1440,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X$10&gt;TODAY(),EB.UJAustritt=""),0,X55),
IF(AND(X$10&gt;TODAY(),EB.UJAustritt=""),W56,W56+X55)),"")</f>
        <v>0</v>
      </c>
      <c r="Y56" s="247">
        <f ca="1">IF(EB.Anwendung&lt;&gt;"",IF(DAY(Y$10)=1,IF(MONTH(Monat.Tag1)=1,ROUND(EB.ÜVMMS*1440,0)/1440,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Y$10&gt;TODAY(),EB.UJAustritt=""),0,Y55),
IF(AND(Y$10&gt;TODAY(),EB.UJAustritt=""),X56,X56+Y55)),"")</f>
        <v>0</v>
      </c>
      <c r="Z56" s="247">
        <f ca="1">IF(EB.Anwendung&lt;&gt;"",IF(DAY(Z$10)=1,IF(MONTH(Monat.Tag1)=1,ROUND(EB.ÜVMMS*1440,0)/1440,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Z$10&gt;TODAY(),EB.UJAustritt=""),0,Z55),
IF(AND(Z$10&gt;TODAY(),EB.UJAustritt=""),Y56,Y56+Z55)),"")</f>
        <v>0</v>
      </c>
      <c r="AA56" s="247">
        <f ca="1">IF(EB.Anwendung&lt;&gt;"",IF(DAY(AA$10)=1,IF(MONTH(Monat.Tag1)=1,ROUND(EB.ÜVMMS*1440,0)/1440,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A$10&gt;TODAY(),EB.UJAustritt=""),0,AA55),
IF(AND(AA$10&gt;TODAY(),EB.UJAustritt=""),Z56,Z56+AA55)),"")</f>
        <v>0</v>
      </c>
      <c r="AB56" s="247">
        <f ca="1">IF(EB.Anwendung&lt;&gt;"",IF(DAY(AB$10)=1,IF(MONTH(Monat.Tag1)=1,ROUND(EB.ÜVMMS*1440,0)/1440,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B$10&gt;TODAY(),EB.UJAustritt=""),0,AB55),
IF(AND(AB$10&gt;TODAY(),EB.UJAustritt=""),AA56,AA56+AB55)),"")</f>
        <v>0</v>
      </c>
      <c r="AC56" s="247">
        <f ca="1">IF(EB.Anwendung&lt;&gt;"",IF(DAY(AC$10)=1,IF(MONTH(Monat.Tag1)=1,ROUND(EB.ÜVMMS*1440,0)/1440,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C$10&gt;TODAY(),EB.UJAustritt=""),0,AC55),
IF(AND(AC$10&gt;TODAY(),EB.UJAustritt=""),AB56,AB56+AC55)),"")</f>
        <v>0</v>
      </c>
      <c r="AD56" s="247">
        <f ca="1">IF(EB.Anwendung&lt;&gt;"",IF(DAY(AD$10)=1,IF(MONTH(Monat.Tag1)=1,ROUND(EB.ÜVMMS*1440,0)/1440,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D$10&gt;TODAY(),EB.UJAustritt=""),0,AD55),
IF(AND(AD$10&gt;TODAY(),EB.UJAustritt=""),AC56,AC56+AD55)),"")</f>
        <v>0</v>
      </c>
      <c r="AE56" s="247">
        <f ca="1">IF(EB.Anwendung&lt;&gt;"",IF(DAY(AE$10)=1,IF(MONTH(Monat.Tag1)=1,ROUND(EB.ÜVMMS*1440,0)/1440,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E$10&gt;TODAY(),EB.UJAustritt=""),0,AE55),
IF(AND(AE$10&gt;TODAY(),EB.UJAustritt=""),AD56,AD56+AE55)),"")</f>
        <v>0</v>
      </c>
      <c r="AF56" s="247">
        <f ca="1">IF(EB.Anwendung&lt;&gt;"",IF(DAY(AF$10)=1,IF(MONTH(Monat.Tag1)=1,ROUND(EB.ÜVMMS*1440,0)/1440,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F$10&gt;TODAY(),EB.UJAustritt=""),0,AF55),
IF(AND(AF$10&gt;TODAY(),EB.UJAustritt=""),AE56,AE56+AF55)),"")</f>
        <v>0</v>
      </c>
      <c r="AG56" s="205" t="str">
        <f t="shared" si="2"/>
        <v>current extra/minus hours</v>
      </c>
      <c r="AH56" s="218"/>
      <c r="AI56" s="238">
        <f ca="1">OFFSET(B56,0,DAY(EOMONTH(Monat.Tag1,0))-1,1,1)</f>
        <v>0</v>
      </c>
      <c r="AJ56" s="214"/>
      <c r="AK56" s="209"/>
      <c r="AL56" s="209"/>
      <c r="AM56" s="209"/>
      <c r="AN56" s="208"/>
      <c r="AO56" s="209"/>
      <c r="AP56" s="209"/>
      <c r="AQ56" s="119"/>
    </row>
    <row r="57" spans="1:43" s="42" customFormat="1" ht="15" customHeight="1" outlineLevel="1" x14ac:dyDescent="0.2">
      <c r="A57" s="248"/>
      <c r="B57" s="249"/>
      <c r="C57" s="249"/>
      <c r="D57" s="249"/>
      <c r="E57" s="191"/>
      <c r="F57" s="249"/>
      <c r="G57" s="249"/>
      <c r="H57" s="250"/>
      <c r="I57" s="249"/>
      <c r="J57" s="251"/>
      <c r="K57" s="249"/>
      <c r="L57" s="252"/>
      <c r="M57" s="249"/>
      <c r="N57" s="249"/>
      <c r="O57" s="250"/>
      <c r="P57" s="249"/>
      <c r="Q57" s="191"/>
      <c r="R57" s="249"/>
      <c r="S57" s="252"/>
      <c r="T57" s="249"/>
      <c r="U57" s="249"/>
      <c r="V57" s="250"/>
      <c r="W57" s="249"/>
      <c r="X57" s="253"/>
      <c r="Y57" s="249"/>
      <c r="Z57" s="191"/>
      <c r="AA57" s="249"/>
      <c r="AB57" s="249"/>
      <c r="AC57" s="250"/>
      <c r="AD57" s="249"/>
      <c r="AE57" s="191"/>
      <c r="AF57" s="254"/>
      <c r="AG57" s="212" t="s">
        <v>117</v>
      </c>
      <c r="AH57" s="43" t="s">
        <v>2</v>
      </c>
      <c r="AI57" s="73"/>
      <c r="AJ57" s="255"/>
      <c r="AK57" s="256"/>
      <c r="AL57" s="209"/>
      <c r="AM57" s="209"/>
      <c r="AN57" s="208"/>
      <c r="AO57" s="257"/>
      <c r="AP57" s="257"/>
      <c r="AQ57" s="163"/>
    </row>
    <row r="58" spans="1:43" s="44" customFormat="1" ht="15" customHeight="1" x14ac:dyDescent="0.2">
      <c r="A58" s="258"/>
      <c r="B58" s="252"/>
      <c r="C58" s="252"/>
      <c r="D58" s="252"/>
      <c r="E58" s="191"/>
      <c r="F58" s="252"/>
      <c r="G58" s="252"/>
      <c r="H58" s="252"/>
      <c r="I58" s="252"/>
      <c r="J58" s="191"/>
      <c r="K58" s="252"/>
      <c r="L58" s="252"/>
      <c r="M58" s="252"/>
      <c r="N58" s="252"/>
      <c r="O58" s="252"/>
      <c r="P58" s="252"/>
      <c r="Q58" s="191"/>
      <c r="R58" s="252"/>
      <c r="S58" s="252"/>
      <c r="T58" s="252"/>
      <c r="U58" s="252"/>
      <c r="V58" s="252"/>
      <c r="W58" s="252"/>
      <c r="X58" s="253"/>
      <c r="Y58" s="252"/>
      <c r="Z58" s="191"/>
      <c r="AA58" s="252"/>
      <c r="AB58" s="252"/>
      <c r="AC58" s="252"/>
      <c r="AD58" s="252"/>
      <c r="AE58" s="191"/>
      <c r="AF58" s="259"/>
      <c r="AG58" s="260" t="s">
        <v>78</v>
      </c>
      <c r="AH58" s="218"/>
      <c r="AI58" s="238">
        <f ca="1">IF(AH57="+",(Monat.ZUeZ.Total+AI57),(Monat.ZUeZ.Total-AI57))</f>
        <v>0</v>
      </c>
      <c r="AJ58" s="261"/>
      <c r="AK58" s="262"/>
      <c r="AL58" s="245">
        <f ca="1">IF(EB.Anwendung&lt;&gt;"",IF(MONTH(Monat.Tag1)=1,EB.MMS,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f>
        <v>0</v>
      </c>
      <c r="AM58" s="209"/>
      <c r="AN58" s="246">
        <f ca="1">AI58</f>
        <v>0</v>
      </c>
      <c r="AO58" s="209"/>
      <c r="AP58" s="209"/>
      <c r="AQ58" s="131"/>
    </row>
    <row r="59" spans="1:43" s="38" customFormat="1" ht="11.25" customHeight="1" x14ac:dyDescent="0.2">
      <c r="A59" s="220"/>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2"/>
      <c r="AG59" s="205"/>
      <c r="AH59" s="188"/>
      <c r="AI59" s="213"/>
      <c r="AJ59" s="214"/>
      <c r="AK59" s="209"/>
      <c r="AL59" s="209"/>
      <c r="AM59" s="209"/>
      <c r="AN59" s="208"/>
      <c r="AO59" s="209"/>
      <c r="AP59" s="209"/>
      <c r="AQ59" s="119"/>
    </row>
    <row r="60" spans="1:43" s="38" customFormat="1" ht="15" customHeight="1" x14ac:dyDescent="0.2">
      <c r="A60" s="212" t="s">
        <v>217</v>
      </c>
      <c r="B60" s="263" t="str">
        <f ca="1">IF(EB.Wochenarbeitszeit=50/24,IF(T.50_Vetsuisse,IF(WEEKDAY(B$10,2)=7,MAX(0,SUM(OFFSET(B51,0,-MIN(6,DAY(B$10)-1),1,MIN(7,DAY(B$10))))+IF(AND(MONTH(Monat.Tag1)&lt;&gt;1,DAY(B$10)&lt;7),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-1/24*50),""),""),IF(B45=0,"",B45))</f>
        <v/>
      </c>
      <c r="C60" s="263" t="str">
        <f ca="1">IF(EB.Wochenarbeitszeit=50/24,IF(T.50_Vetsuisse,IF(WEEKDAY(C$10,2)=7,MAX(0,SUM(OFFSET(C51,0,-MIN(6,DAY(C$10)-1),1,MIN(7,DAY(C$10))))+IF(AND(MONTH(Monat.Tag1)&lt;&gt;1,DAY(C$10)&lt;7),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-1/24*50),""),""),IF(C45=0,"",C45))</f>
        <v/>
      </c>
      <c r="D60" s="263" t="str">
        <f ca="1">IF(EB.Wochenarbeitszeit=50/24,IF(T.50_Vetsuisse,IF(WEEKDAY(D$10,2)=7,MAX(0,SUM(OFFSET(D51,0,-MIN(6,DAY(D$10)-1),1,MIN(7,DAY(D$10))))+IF(AND(MONTH(Monat.Tag1)&lt;&gt;1,DAY(D$10)&lt;7),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-1/24*50),""),""),IF(D45=0,"",D45))</f>
        <v/>
      </c>
      <c r="E60" s="264" t="str">
        <f ca="1">IF(EB.Wochenarbeitszeit=50/24,IF(T.50_Vetsuisse,IF(WEEKDAY(E$10,2)=7,MAX(0,SUM(OFFSET(E51,0,-MIN(6,DAY(E$10)-1),1,MIN(7,DAY(E$10))))+IF(AND(MONTH(Monat.Tag1)&lt;&gt;1,DAY(E$10)&lt;7),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-1/24*50),""),""),IF(E45=0,"",E45))</f>
        <v/>
      </c>
      <c r="F60" s="263" t="str">
        <f ca="1">IF(EB.Wochenarbeitszeit=50/24,IF(T.50_Vetsuisse,IF(WEEKDAY(F$10,2)=7,MAX(0,SUM(OFFSET(F51,0,-MIN(6,DAY(F$10)-1),1,MIN(7,DAY(F$10))))+IF(AND(MONTH(Monat.Tag1)&lt;&gt;1,DAY(F$10)&lt;7),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-1/24*50),""),""),IF(F45=0,"",F45))</f>
        <v/>
      </c>
      <c r="G60" s="263" t="str">
        <f ca="1">IF(EB.Wochenarbeitszeit=50/24,IF(T.50_Vetsuisse,IF(WEEKDAY(G$10,2)=7,MAX(0,SUM(OFFSET(G51,0,-MIN(6,DAY(G$10)-1),1,MIN(7,DAY(G$10))))+IF(AND(MONTH(Monat.Tag1)&lt;&gt;1,DAY(G$10)&lt;7),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-1/24*50),""),""),IF(G45=0,"",G45))</f>
        <v/>
      </c>
      <c r="H60" s="263" t="str">
        <f ca="1">IF(EB.Wochenarbeitszeit=50/24,IF(T.50_Vetsuisse,IF(WEEKDAY(H$10,2)=7,MAX(0,SUM(OFFSET(H51,0,-MIN(6,DAY(H$10)-1),1,MIN(7,DAY(H$10))))+IF(AND(MONTH(Monat.Tag1)&lt;&gt;1,DAY(H$10)&lt;7),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-1/24*50),""),""),IF(H45=0,"",H45))</f>
        <v/>
      </c>
      <c r="I60" s="263" t="str">
        <f ca="1">IF(EB.Wochenarbeitszeit=50/24,IF(T.50_Vetsuisse,IF(WEEKDAY(I$10,2)=7,MAX(0,SUM(OFFSET(I51,0,-MIN(6,DAY(I$10)-1),1,MIN(7,DAY(I$10))))+IF(AND(MONTH(Monat.Tag1)&lt;&gt;1,DAY(I$10)&lt;7),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-1/24*50),""),""),IF(I45=0,"",I45))</f>
        <v/>
      </c>
      <c r="J60" s="264" t="str">
        <f ca="1">IF(EB.Wochenarbeitszeit=50/24,IF(T.50_Vetsuisse,IF(WEEKDAY(J$10,2)=7,MAX(0,SUM(OFFSET(J51,0,-MIN(6,DAY(J$10)-1),1,MIN(7,DAY(J$10))))+IF(AND(MONTH(Monat.Tag1)&lt;&gt;1,DAY(J$10)&lt;7),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-1/24*50),""),""),IF(J45=0,"",J45))</f>
        <v/>
      </c>
      <c r="K60" s="263" t="str">
        <f ca="1">IF(EB.Wochenarbeitszeit=50/24,IF(T.50_Vetsuisse,IF(WEEKDAY(K$10,2)=7,MAX(0,SUM(OFFSET(K51,0,-MIN(6,DAY(K$10)-1),1,MIN(7,DAY(K$10))))+IF(AND(MONTH(Monat.Tag1)&lt;&gt;1,DAY(K$10)&lt;7),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-1/24*50),""),""),IF(K45=0,"",K45))</f>
        <v/>
      </c>
      <c r="L60" s="264" t="str">
        <f ca="1">IF(EB.Wochenarbeitszeit=50/24,IF(T.50_Vetsuisse,IF(WEEKDAY(L$10,2)=7,MAX(0,SUM(OFFSET(L51,0,-MIN(6,DAY(L$10)-1),1,MIN(7,DAY(L$10))))+IF(AND(MONTH(Monat.Tag1)&lt;&gt;1,DAY(L$10)&lt;7),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-1/24*50),""),""),IF(L45=0,"",L45))</f>
        <v/>
      </c>
      <c r="M60" s="263" t="str">
        <f ca="1">IF(EB.Wochenarbeitszeit=50/24,IF(T.50_Vetsuisse,IF(WEEKDAY(M$10,2)=7,MAX(0,SUM(OFFSET(M51,0,-MIN(6,DAY(M$10)-1),1,MIN(7,DAY(M$10))))+IF(AND(MONTH(Monat.Tag1)&lt;&gt;1,DAY(M$10)&lt;7),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-1/24*50),""),""),IF(M45=0,"",M45))</f>
        <v/>
      </c>
      <c r="N60" s="263" t="str">
        <f ca="1">IF(EB.Wochenarbeitszeit=50/24,IF(T.50_Vetsuisse,IF(WEEKDAY(N$10,2)=7,MAX(0,SUM(OFFSET(N51,0,-MIN(6,DAY(N$10)-1),1,MIN(7,DAY(N$10))))+IF(AND(MONTH(Monat.Tag1)&lt;&gt;1,DAY(N$10)&lt;7),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-1/24*50),""),""),IF(N45=0,"",N45))</f>
        <v/>
      </c>
      <c r="O60" s="263" t="str">
        <f ca="1">IF(EB.Wochenarbeitszeit=50/24,IF(T.50_Vetsuisse,IF(WEEKDAY(O$10,2)=7,MAX(0,SUM(OFFSET(O51,0,-MIN(6,DAY(O$10)-1),1,MIN(7,DAY(O$10))))+IF(AND(MONTH(Monat.Tag1)&lt;&gt;1,DAY(O$10)&lt;7),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-1/24*50),""),""),IF(O45=0,"",O45))</f>
        <v/>
      </c>
      <c r="P60" s="263" t="str">
        <f ca="1">IF(EB.Wochenarbeitszeit=50/24,IF(T.50_Vetsuisse,IF(WEEKDAY(P$10,2)=7,MAX(0,SUM(OFFSET(P51,0,-MIN(6,DAY(P$10)-1),1,MIN(7,DAY(P$10))))+IF(AND(MONTH(Monat.Tag1)&lt;&gt;1,DAY(P$10)&lt;7),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-1/24*50),""),""),IF(P45=0,"",P45))</f>
        <v/>
      </c>
      <c r="Q60" s="264" t="str">
        <f ca="1">IF(EB.Wochenarbeitszeit=50/24,IF(T.50_Vetsuisse,IF(WEEKDAY(Q$10,2)=7,MAX(0,SUM(OFFSET(Q51,0,-MIN(6,DAY(Q$10)-1),1,MIN(7,DAY(Q$10))))+IF(AND(MONTH(Monat.Tag1)&lt;&gt;1,DAY(Q$10)&lt;7),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-1/24*50),""),""),IF(Q45=0,"",Q45))</f>
        <v/>
      </c>
      <c r="R60" s="263" t="str">
        <f ca="1">IF(EB.Wochenarbeitszeit=50/24,IF(T.50_Vetsuisse,IF(WEEKDAY(R$10,2)=7,MAX(0,SUM(OFFSET(R51,0,-MIN(6,DAY(R$10)-1),1,MIN(7,DAY(R$10))))+IF(AND(MONTH(Monat.Tag1)&lt;&gt;1,DAY(R$10)&lt;7),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-1/24*50),""),""),IF(R45=0,"",R45))</f>
        <v/>
      </c>
      <c r="S60" s="264" t="str">
        <f ca="1">IF(EB.Wochenarbeitszeit=50/24,IF(T.50_Vetsuisse,IF(WEEKDAY(S$10,2)=7,MAX(0,SUM(OFFSET(S51,0,-MIN(6,DAY(S$10)-1),1,MIN(7,DAY(S$10))))+IF(AND(MONTH(Monat.Tag1)&lt;&gt;1,DAY(S$10)&lt;7),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-1/24*50),""),""),IF(S45=0,"",S45))</f>
        <v/>
      </c>
      <c r="T60" s="264" t="str">
        <f ca="1">IF(EB.Wochenarbeitszeit=50/24,IF(T.50_Vetsuisse,IF(WEEKDAY(T$10,2)=7,MAX(0,SUM(OFFSET(T51,0,-MIN(6,DAY(T$10)-1),1,MIN(7,DAY(T$10))))+IF(AND(MONTH(Monat.Tag1)&lt;&gt;1,DAY(T$10)&lt;7),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-1/24*50),""),""),IF(T45=0,"",T45))</f>
        <v/>
      </c>
      <c r="U60" s="263" t="str">
        <f ca="1">IF(EB.Wochenarbeitszeit=50/24,IF(T.50_Vetsuisse,IF(WEEKDAY(U$10,2)=7,MAX(0,SUM(OFFSET(U51,0,-MIN(6,DAY(U$10)-1),1,MIN(7,DAY(U$10))))+IF(AND(MONTH(Monat.Tag1)&lt;&gt;1,DAY(U$10)&lt;7),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-1/24*50),""),""),IF(U45=0,"",U45))</f>
        <v/>
      </c>
      <c r="V60" s="263" t="str">
        <f ca="1">IF(EB.Wochenarbeitszeit=50/24,IF(T.50_Vetsuisse,IF(WEEKDAY(V$10,2)=7,MAX(0,SUM(OFFSET(V51,0,-MIN(6,DAY(V$10)-1),1,MIN(7,DAY(V$10))))+IF(AND(MONTH(Monat.Tag1)&lt;&gt;1,DAY(V$10)&lt;7),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-1/24*50),""),""),IF(V45=0,"",V45))</f>
        <v/>
      </c>
      <c r="W60" s="263" t="str">
        <f ca="1">IF(EB.Wochenarbeitszeit=50/24,IF(T.50_Vetsuisse,IF(WEEKDAY(W$10,2)=7,MAX(0,SUM(OFFSET(W51,0,-MIN(6,DAY(W$10)-1),1,MIN(7,DAY(W$10))))+IF(AND(MONTH(Monat.Tag1)&lt;&gt;1,DAY(W$10)&lt;7),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-1/24*50),""),""),IF(W45=0,"",W45))</f>
        <v/>
      </c>
      <c r="X60" s="264" t="str">
        <f ca="1">IF(EB.Wochenarbeitszeit=50/24,IF(T.50_Vetsuisse,IF(WEEKDAY(X$10,2)=7,MAX(0,SUM(OFFSET(X51,0,-MIN(6,DAY(X$10)-1),1,MIN(7,DAY(X$10))))+IF(AND(MONTH(Monat.Tag1)&lt;&gt;1,DAY(X$10)&lt;7),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-1/24*50),""),""),IF(X45=0,"",X45))</f>
        <v/>
      </c>
      <c r="Y60" s="263" t="str">
        <f ca="1">IF(EB.Wochenarbeitszeit=50/24,IF(T.50_Vetsuisse,IF(WEEKDAY(Y$10,2)=7,MAX(0,SUM(OFFSET(Y51,0,-MIN(6,DAY(Y$10)-1),1,MIN(7,DAY(Y$10))))+IF(AND(MONTH(Monat.Tag1)&lt;&gt;1,DAY(Y$10)&lt;7),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-1/24*50),""),""),IF(Y45=0,"",Y45))</f>
        <v/>
      </c>
      <c r="Z60" s="265" t="str">
        <f ca="1">IF(EB.Wochenarbeitszeit=50/24,IF(T.50_Vetsuisse,IF(WEEKDAY(Z$10,2)=7,MAX(0,SUM(OFFSET(Z51,0,-MIN(6,DAY(Z$10)-1),1,MIN(7,DAY(Z$10))))+IF(AND(MONTH(Monat.Tag1)&lt;&gt;1,DAY(Z$10)&lt;7),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-1/24*50),""),""),IF(Z45=0,"",Z45))</f>
        <v/>
      </c>
      <c r="AA60" s="263" t="str">
        <f ca="1">IF(EB.Wochenarbeitszeit=50/24,IF(T.50_Vetsuisse,IF(WEEKDAY(AA$10,2)=7,MAX(0,SUM(OFFSET(AA51,0,-MIN(6,DAY(AA$10)-1),1,MIN(7,DAY(AA$10))))+IF(AND(MONTH(Monat.Tag1)&lt;&gt;1,DAY(AA$10)&lt;7),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-1/24*50),""),""),IF(AA45=0,"",AA45))</f>
        <v/>
      </c>
      <c r="AB60" s="263" t="str">
        <f ca="1">IF(EB.Wochenarbeitszeit=50/24,IF(T.50_Vetsuisse,IF(WEEKDAY(AB$10,2)=7,MAX(0,SUM(OFFSET(AB51,0,-MIN(6,DAY(AB$10)-1),1,MIN(7,DAY(AB$10))))+IF(AND(MONTH(Monat.Tag1)&lt;&gt;1,DAY(AB$10)&lt;7),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-1/24*50),""),""),IF(AB45=0,"",AB45))</f>
        <v/>
      </c>
      <c r="AC60" s="263" t="str">
        <f ca="1">IF(EB.Wochenarbeitszeit=50/24,IF(T.50_Vetsuisse,IF(WEEKDAY(AC$10,2)=7,MAX(0,SUM(OFFSET(AC51,0,-MIN(6,DAY(AC$10)-1),1,MIN(7,DAY(AC$10))))+IF(AND(MONTH(Monat.Tag1)&lt;&gt;1,DAY(AC$10)&lt;7),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-1/24*50),""),""),IF(AC45=0,"",AC45))</f>
        <v/>
      </c>
      <c r="AD60" s="263" t="str">
        <f ca="1">IF(EB.Wochenarbeitszeit=50/24,IF(T.50_Vetsuisse,IF(WEEKDAY(AD$10,2)=7,MAX(0,SUM(OFFSET(AD51,0,-MIN(6,DAY(AD$10)-1),1,MIN(7,DAY(AD$10))))+IF(AND(MONTH(Monat.Tag1)&lt;&gt;1,DAY(AD$10)&lt;7),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-1/24*50),""),""),IF(AD45=0,"",AD45))</f>
        <v/>
      </c>
      <c r="AE60" s="264" t="str">
        <f ca="1">IF(EB.Wochenarbeitszeit=50/24,IF(T.50_Vetsuisse,IF(WEEKDAY(AE$10,2)=7,MAX(0,SUM(OFFSET(AE51,0,-MIN(6,DAY(AE$10)-1),1,MIN(7,DAY(AE$10))))+IF(AND(MONTH(Monat.Tag1)&lt;&gt;1,DAY(AE$10)&lt;7),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-1/24*50),""),""),IF(AE45=0,"",AE45))</f>
        <v/>
      </c>
      <c r="AF60" s="263" t="str">
        <f ca="1">IF(EB.Wochenarbeitszeit=50/24,IF(T.50_Vetsuisse,IF(WEEKDAY(AF$10,2)=7,MAX(0,SUM(OFFSET(AF51,0,-MIN(6,DAY(AF$10)-1),1,MIN(7,DAY(AF$10))))+IF(AND(MONTH(Monat.Tag1)&lt;&gt;1,DAY(AF$10)&lt;7),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-1/24*50),""),""),IF(AF45=0,"",AF45))</f>
        <v/>
      </c>
      <c r="AG60" s="205" t="str">
        <f>A60</f>
        <v>Ordered overtime</v>
      </c>
      <c r="AH60" s="218"/>
      <c r="AI60" s="238">
        <f ca="1">SUM(B60:AF60)</f>
        <v>0</v>
      </c>
      <c r="AJ60" s="214"/>
      <c r="AK60" s="209"/>
      <c r="AL60" s="245">
        <f ca="1">IF(EB.Anwendung&lt;&gt;"",IF(MONTH(Monat.Tag1)=1,0,IF(MONTH(Monat.Tag1)=2,January!Monat.AnUeZUeVM,IF(MONTH(Monat.Tag1)=3,February!Monat.AnUeZUeVM,IF(MONTH(Monat.Tag1)=4,March!Monat.AnUeZUeVM,IF(MONTH(Monat.Tag1)=5,April!Monat.AnUeZUeVM,IF(MONTH(Monat.Tag1)=6,May!Monat.AnUeZUeVM,IF(MONTH(Monat.Tag1)=7,June!Monat.AnUeZUeVM,IF(MONTH(Monat.Tag1)=8,July!Monat.AnUeZUeVM,IF(MONTH(Monat.Tag1)=9,August!Monat.AnUeZUeVM,IF(MONTH(Monat.Tag1)=10,September!Monat.AnUeZUeVM,IF(MONTH(Monat.Tag1)=11,October!Monat.AnUeZUeVM,IF(MONTH(Monat.Tag1)=12,November!Monat.AnUeZUeVM,"")))))))))))),"")</f>
        <v>0</v>
      </c>
      <c r="AM60" s="209"/>
      <c r="AN60" s="246">
        <f ca="1">AI60+AL60</f>
        <v>0</v>
      </c>
      <c r="AO60" s="246">
        <f ca="1">SUM(OFFSET(Jahr.AngÜZ,-12,0,MONTH(Monat.Tag1),1))</f>
        <v>0</v>
      </c>
      <c r="AP60" s="246">
        <f ca="1">Jahr.AngÜZ</f>
        <v>0</v>
      </c>
      <c r="AQ60" s="119"/>
    </row>
    <row r="61" spans="1:43" s="38" customFormat="1" ht="15" customHeight="1" x14ac:dyDescent="0.2">
      <c r="A61" s="212" t="s">
        <v>218</v>
      </c>
      <c r="B61" s="27"/>
      <c r="C61" s="27"/>
      <c r="D61" s="27"/>
      <c r="E61" s="27"/>
      <c r="F61" s="27"/>
      <c r="G61" s="27"/>
      <c r="H61" s="27"/>
      <c r="I61" s="27"/>
      <c r="J61" s="27"/>
      <c r="K61" s="27"/>
      <c r="L61" s="27"/>
      <c r="M61" s="27"/>
      <c r="N61" s="27"/>
      <c r="O61" s="27"/>
      <c r="P61" s="27"/>
      <c r="Q61" s="27"/>
      <c r="R61" s="27"/>
      <c r="S61" s="27"/>
      <c r="T61" s="27"/>
      <c r="U61" s="27"/>
      <c r="V61" s="27"/>
      <c r="W61" s="27"/>
      <c r="X61" s="27"/>
      <c r="Y61" s="27"/>
      <c r="Z61" s="39"/>
      <c r="AA61" s="27"/>
      <c r="AB61" s="27"/>
      <c r="AC61" s="27"/>
      <c r="AD61" s="27"/>
      <c r="AE61" s="27"/>
      <c r="AF61" s="27"/>
      <c r="AG61" s="205" t="str">
        <f>A61</f>
        <v>Compensation overtime</v>
      </c>
      <c r="AH61" s="218"/>
      <c r="AI61" s="238">
        <f>SUM(B61:AF61)</f>
        <v>0</v>
      </c>
      <c r="AJ61" s="214"/>
      <c r="AK61" s="209"/>
      <c r="AL61" s="209"/>
      <c r="AM61" s="209"/>
      <c r="AN61" s="208"/>
      <c r="AO61" s="209"/>
      <c r="AP61" s="209"/>
      <c r="AQ61" s="119"/>
    </row>
    <row r="62" spans="1:43" s="42" customFormat="1" ht="15" hidden="1" customHeight="1" outlineLevel="1" x14ac:dyDescent="0.2">
      <c r="A62" s="248"/>
      <c r="B62" s="253"/>
      <c r="C62" s="253"/>
      <c r="D62" s="253"/>
      <c r="E62" s="191"/>
      <c r="F62" s="253"/>
      <c r="G62" s="253"/>
      <c r="H62" s="253"/>
      <c r="I62" s="253"/>
      <c r="J62" s="251"/>
      <c r="K62" s="253"/>
      <c r="L62" s="252"/>
      <c r="M62" s="253"/>
      <c r="N62" s="253"/>
      <c r="O62" s="253"/>
      <c r="P62" s="253"/>
      <c r="Q62" s="191"/>
      <c r="R62" s="253"/>
      <c r="S62" s="252"/>
      <c r="T62" s="253"/>
      <c r="U62" s="253"/>
      <c r="V62" s="253"/>
      <c r="W62" s="253"/>
      <c r="X62" s="253"/>
      <c r="Y62" s="253"/>
      <c r="Z62" s="191"/>
      <c r="AA62" s="253"/>
      <c r="AB62" s="253"/>
      <c r="AC62" s="253"/>
      <c r="AD62" s="253"/>
      <c r="AE62" s="191"/>
      <c r="AF62" s="266"/>
      <c r="AG62" s="267" t="s">
        <v>118</v>
      </c>
      <c r="AH62" s="268"/>
      <c r="AI62" s="238">
        <f ca="1">Monat.AnUeZ.Total-Monat.KomUeZ.Total</f>
        <v>0</v>
      </c>
      <c r="AJ62" s="214"/>
      <c r="AK62" s="257"/>
      <c r="AL62" s="257"/>
      <c r="AM62" s="209"/>
      <c r="AN62" s="257"/>
      <c r="AO62" s="257"/>
      <c r="AP62" s="257"/>
      <c r="AQ62" s="163"/>
    </row>
    <row r="63" spans="1:43" s="38" customFormat="1" ht="15" customHeight="1" collapsed="1" x14ac:dyDescent="0.2">
      <c r="A63" s="220"/>
      <c r="B63" s="191"/>
      <c r="C63" s="191"/>
      <c r="D63" s="191"/>
      <c r="E63" s="191"/>
      <c r="F63" s="191"/>
      <c r="G63" s="191"/>
      <c r="H63" s="191"/>
      <c r="I63" s="191"/>
      <c r="J63" s="191"/>
      <c r="K63" s="191"/>
      <c r="L63" s="252"/>
      <c r="M63" s="191"/>
      <c r="N63" s="191"/>
      <c r="O63" s="191"/>
      <c r="P63" s="191"/>
      <c r="Q63" s="191"/>
      <c r="R63" s="191"/>
      <c r="S63" s="252"/>
      <c r="T63" s="191"/>
      <c r="U63" s="191"/>
      <c r="V63" s="191"/>
      <c r="W63" s="191"/>
      <c r="X63" s="253"/>
      <c r="Y63" s="191"/>
      <c r="Z63" s="191"/>
      <c r="AA63" s="191"/>
      <c r="AB63" s="191"/>
      <c r="AC63" s="191"/>
      <c r="AD63" s="191"/>
      <c r="AE63" s="191"/>
      <c r="AF63" s="269"/>
      <c r="AG63" s="212" t="s">
        <v>215</v>
      </c>
      <c r="AH63" s="218"/>
      <c r="AI63" s="238">
        <f ca="1">IF(T.50_Vetsuisse,0,IF(AND(AI62&gt;0,Monat.ÜZZSBerechtigt=INDEX(T.JaNein.Bereich,1,1)),ROUND(AI62*0.25*1440,0)/1440,0))</f>
        <v>0</v>
      </c>
      <c r="AJ63" s="214"/>
      <c r="AK63" s="209"/>
      <c r="AL63" s="257"/>
      <c r="AM63" s="209"/>
      <c r="AN63" s="257"/>
      <c r="AO63" s="257"/>
      <c r="AP63" s="257"/>
      <c r="AQ63" s="119"/>
    </row>
    <row r="64" spans="1:43" s="38" customFormat="1" ht="15" hidden="1" customHeight="1" outlineLevel="1" x14ac:dyDescent="0.2">
      <c r="A64" s="220"/>
      <c r="B64" s="191"/>
      <c r="C64" s="191"/>
      <c r="D64" s="191"/>
      <c r="E64" s="191"/>
      <c r="F64" s="191"/>
      <c r="G64" s="191"/>
      <c r="H64" s="191"/>
      <c r="I64" s="191"/>
      <c r="J64" s="191"/>
      <c r="K64" s="191"/>
      <c r="L64" s="252"/>
      <c r="M64" s="191"/>
      <c r="N64" s="191"/>
      <c r="O64" s="191"/>
      <c r="P64" s="191"/>
      <c r="Q64" s="191"/>
      <c r="R64" s="191"/>
      <c r="S64" s="252"/>
      <c r="T64" s="191"/>
      <c r="U64" s="191"/>
      <c r="V64" s="191"/>
      <c r="W64" s="191"/>
      <c r="X64" s="253"/>
      <c r="Y64" s="191"/>
      <c r="Z64" s="191"/>
      <c r="AA64" s="191"/>
      <c r="AB64" s="191"/>
      <c r="AC64" s="191"/>
      <c r="AD64" s="191"/>
      <c r="AE64" s="191"/>
      <c r="AF64" s="269"/>
      <c r="AG64" s="212" t="s">
        <v>119</v>
      </c>
      <c r="AH64" s="45" t="s">
        <v>2</v>
      </c>
      <c r="AI64" s="46"/>
      <c r="AJ64" s="270"/>
      <c r="AK64" s="209"/>
      <c r="AL64" s="257"/>
      <c r="AM64" s="209"/>
      <c r="AN64" s="257"/>
      <c r="AO64" s="257"/>
      <c r="AP64" s="257"/>
      <c r="AQ64" s="119"/>
    </row>
    <row r="65" spans="1:43" s="42" customFormat="1" ht="15" customHeight="1" collapsed="1" x14ac:dyDescent="0.2">
      <c r="A65" s="248"/>
      <c r="B65" s="253"/>
      <c r="C65" s="253"/>
      <c r="D65" s="253"/>
      <c r="E65" s="191"/>
      <c r="F65" s="253"/>
      <c r="G65" s="253"/>
      <c r="H65" s="253"/>
      <c r="I65" s="253"/>
      <c r="J65" s="191"/>
      <c r="K65" s="253"/>
      <c r="L65" s="252"/>
      <c r="M65" s="253"/>
      <c r="N65" s="253"/>
      <c r="O65" s="253"/>
      <c r="P65" s="253"/>
      <c r="Q65" s="191"/>
      <c r="R65" s="253"/>
      <c r="S65" s="252"/>
      <c r="T65" s="253"/>
      <c r="U65" s="253"/>
      <c r="V65" s="253"/>
      <c r="W65" s="253"/>
      <c r="X65" s="253"/>
      <c r="Y65" s="253"/>
      <c r="Z65" s="191"/>
      <c r="AA65" s="253"/>
      <c r="AB65" s="253"/>
      <c r="AC65" s="253"/>
      <c r="AD65" s="253"/>
      <c r="AE65" s="191"/>
      <c r="AF65" s="266"/>
      <c r="AG65" s="260" t="s">
        <v>219</v>
      </c>
      <c r="AH65" s="268"/>
      <c r="AI65" s="238">
        <f ca="1">IF(AH64="+",(AI62+AI63+AI64),(AI62+AI63-AI64))</f>
        <v>0</v>
      </c>
      <c r="AJ65" s="261"/>
      <c r="AK65" s="271"/>
      <c r="AL65" s="245">
        <f ca="1">IF(EB.Anwendung&lt;&gt;"",IF(MONTH(Monat.Tag1)=1,EB.UeZ,IF(MONTH(Monat.Tag1)=2,January!Monat.UeZUeVM,IF(MONTH(Monat.Tag1)=3,February!Monat.UeZUeVM,IF(MONTH(Monat.Tag1)=4,March!Monat.UeZUeVM,IF(MONTH(Monat.Tag1)=5,April!Monat.UeZUeVM,IF(MONTH(Monat.Tag1)=6,May!Monat.UeZUeVM,IF(MONTH(Monat.Tag1)=7,June!Monat.UeZUeVM,IF(MONTH(Monat.Tag1)=8,July!Monat.UeZUeVM,IF(MONTH(Monat.Tag1)=9,August!Monat.UeZUeVM,IF(MONTH(Monat.Tag1)=10,September!Monat.UeZUeVM,IF(MONTH(Monat.Tag1)=11,October!Monat.UeZUeVM,IF(MONTH(Monat.Tag1)=12,November!Monat.UeZUeVM,"")))))))))))),"")</f>
        <v>0</v>
      </c>
      <c r="AM65" s="209"/>
      <c r="AN65" s="246">
        <f ca="1">AI65+AL65</f>
        <v>0</v>
      </c>
      <c r="AO65" s="246">
        <f ca="1">SUM(OFFSET(J.UeZ.Total,-12,0,MONTH(Monat.Tag1),1))</f>
        <v>0</v>
      </c>
      <c r="AP65" s="246">
        <f ca="1">J.UeZ.Total</f>
        <v>0</v>
      </c>
      <c r="AQ65" s="163"/>
    </row>
    <row r="66" spans="1:43" s="38" customFormat="1" ht="11.25" customHeight="1" outlineLevel="1" x14ac:dyDescent="0.2">
      <c r="A66" s="220"/>
      <c r="B66" s="354">
        <f ca="1">IF(EB.Anwendung&lt;&gt;"",
IF(AND(B$10&gt;TODAY(),$W$7&gt;0,B52&lt;=0),0,
IF(AND(B$10&gt;TODAY(),$W$7&lt;=0,B53&lt;=0),0,
IF(B85&lt;=0,1,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f>
        <v>0</v>
      </c>
      <c r="C66" s="354">
        <f ca="1">IF(EB.Anwendung&lt;&gt;"",
IF(AND(C$10&gt;TODAY(),$W$7&gt;0,C52&lt;=0),0,
IF(AND(C$10&gt;TODAY(),$W$7&lt;=0,C53&lt;=0),0,
IF(C85&lt;=0,1,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f>
        <v>1</v>
      </c>
      <c r="D66" s="354">
        <f ca="1">IF(EB.Anwendung&lt;&gt;"",
IF(AND(D$10&gt;TODAY(),$W$7&gt;0,D52&lt;=0),0,
IF(AND(D$10&gt;TODAY(),$W$7&lt;=0,D53&lt;=0),0,
IF(D85&lt;=0,1,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f>
        <v>1</v>
      </c>
      <c r="E66" s="354">
        <f ca="1">IF(EB.Anwendung&lt;&gt;"",
IF(AND(E$10&gt;TODAY(),$W$7&gt;0,E52&lt;=0),0,
IF(AND(E$10&gt;TODAY(),$W$7&lt;=0,E53&lt;=0),0,
IF(E85&lt;=0,1,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f>
        <v>1</v>
      </c>
      <c r="F66" s="354">
        <f ca="1">IF(EB.Anwendung&lt;&gt;"",
IF(AND(F$10&gt;TODAY(),$W$7&gt;0,F52&lt;=0),0,
IF(AND(F$10&gt;TODAY(),$W$7&lt;=0,F53&lt;=0),0,
IF(F85&lt;=0,1,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f>
        <v>1</v>
      </c>
      <c r="G66" s="354">
        <f ca="1">IF(EB.Anwendung&lt;&gt;"",
IF(AND(G$10&gt;TODAY(),$W$7&gt;0,G52&lt;=0),0,
IF(AND(G$10&gt;TODAY(),$W$7&lt;=0,G53&lt;=0),0,
IF(G85&lt;=0,1,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f>
        <v>1</v>
      </c>
      <c r="H66" s="354">
        <f ca="1">IF(EB.Anwendung&lt;&gt;"",
IF(AND(H$10&gt;TODAY(),$W$7&gt;0,H52&lt;=0),0,
IF(AND(H$10&gt;TODAY(),$W$7&lt;=0,H53&lt;=0),0,
IF(H85&lt;=0,1,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f>
        <v>0</v>
      </c>
      <c r="I66" s="354">
        <f ca="1">IF(EB.Anwendung&lt;&gt;"",
IF(AND(I$10&gt;TODAY(),$W$7&gt;0,I52&lt;=0),0,
IF(AND(I$10&gt;TODAY(),$W$7&lt;=0,I53&lt;=0),0,
IF(I85&lt;=0,1,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f>
        <v>0</v>
      </c>
      <c r="J66" s="354">
        <f ca="1">IF(EB.Anwendung&lt;&gt;"",
IF(AND(J$10&gt;TODAY(),$W$7&gt;0,J52&lt;=0),0,
IF(AND(J$10&gt;TODAY(),$W$7&lt;=0,J53&lt;=0),0,
IF(J85&lt;=0,1,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f>
        <v>1</v>
      </c>
      <c r="K66" s="354">
        <f ca="1">IF(EB.Anwendung&lt;&gt;"",
IF(AND(K$10&gt;TODAY(),$W$7&gt;0,K52&lt;=0),0,
IF(AND(K$10&gt;TODAY(),$W$7&lt;=0,K53&lt;=0),0,
IF(K85&lt;=0,1,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f>
        <v>1</v>
      </c>
      <c r="L66" s="431">
        <f ca="1">IF(EB.Anwendung&lt;&gt;"",
IF(AND(L$10&gt;TODAY(),$W$7&gt;0,L52&lt;=0),0,
IF(AND(L$10&gt;TODAY(),$W$7&lt;=0,L53&lt;=0),0,
IF(L85&lt;=0,1,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f>
        <v>1</v>
      </c>
      <c r="M66" s="354">
        <f ca="1">IF(EB.Anwendung&lt;&gt;"",
IF(AND(M$10&gt;TODAY(),$W$7&gt;0,M52&lt;=0),0,
IF(AND(M$10&gt;TODAY(),$W$7&lt;=0,M53&lt;=0),0,
IF(M85&lt;=0,1,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f>
        <v>1</v>
      </c>
      <c r="N66" s="354">
        <f ca="1">IF(EB.Anwendung&lt;&gt;"",
IF(AND(N$10&gt;TODAY(),$W$7&gt;0,N52&lt;=0),0,
IF(AND(N$10&gt;TODAY(),$W$7&lt;=0,N53&lt;=0),0,
IF(N85&lt;=0,1,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f>
        <v>1</v>
      </c>
      <c r="O66" s="354">
        <f ca="1">IF(EB.Anwendung&lt;&gt;"",
IF(AND(O$10&gt;TODAY(),$W$7&gt;0,O52&lt;=0),0,
IF(AND(O$10&gt;TODAY(),$W$7&lt;=0,O53&lt;=0),0,
IF(O85&lt;=0,1,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f>
        <v>0</v>
      </c>
      <c r="P66" s="354">
        <f ca="1">IF(EB.Anwendung&lt;&gt;"",
IF(AND(P$10&gt;TODAY(),$W$7&gt;0,P52&lt;=0),0,
IF(AND(P$10&gt;TODAY(),$W$7&lt;=0,P53&lt;=0),0,
IF(P85&lt;=0,1,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f>
        <v>0</v>
      </c>
      <c r="Q66" s="354">
        <f ca="1">IF(EB.Anwendung&lt;&gt;"",
IF(AND(Q$10&gt;TODAY(),$W$7&gt;0,Q52&lt;=0),0,
IF(AND(Q$10&gt;TODAY(),$W$7&lt;=0,Q53&lt;=0),0,
IF(Q85&lt;=0,1,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f>
        <v>1</v>
      </c>
      <c r="R66" s="354">
        <f ca="1">IF(EB.Anwendung&lt;&gt;"",
IF(AND(R$10&gt;TODAY(),$W$7&gt;0,R52&lt;=0),0,
IF(AND(R$10&gt;TODAY(),$W$7&lt;=0,R53&lt;=0),0,
IF(R85&lt;=0,1,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f>
        <v>1</v>
      </c>
      <c r="S66" s="431">
        <f ca="1">IF(EB.Anwendung&lt;&gt;"",
IF(AND(S$10&gt;TODAY(),$W$7&gt;0,S52&lt;=0),0,
IF(AND(S$10&gt;TODAY(),$W$7&lt;=0,S53&lt;=0),0,
IF(S85&lt;=0,1,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f>
        <v>1</v>
      </c>
      <c r="T66" s="354">
        <f ca="1">IF(EB.Anwendung&lt;&gt;"",
IF(AND(T$10&gt;TODAY(),$W$7&gt;0,T52&lt;=0),0,
IF(AND(T$10&gt;TODAY(),$W$7&lt;=0,T53&lt;=0),0,
IF(T85&lt;=0,1,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f>
        <v>1</v>
      </c>
      <c r="U66" s="354">
        <f ca="1">IF(EB.Anwendung&lt;&gt;"",
IF(AND(U$10&gt;TODAY(),$W$7&gt;0,U52&lt;=0),0,
IF(AND(U$10&gt;TODAY(),$W$7&lt;=0,U53&lt;=0),0,
IF(U85&lt;=0,1,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f>
        <v>1</v>
      </c>
      <c r="V66" s="354">
        <f ca="1">IF(EB.Anwendung&lt;&gt;"",
IF(AND(V$10&gt;TODAY(),$W$7&gt;0,V52&lt;=0),0,
IF(AND(V$10&gt;TODAY(),$W$7&lt;=0,V53&lt;=0),0,
IF(V85&lt;=0,1,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f>
        <v>0</v>
      </c>
      <c r="W66" s="354">
        <f ca="1">IF(EB.Anwendung&lt;&gt;"",
IF(AND(W$10&gt;TODAY(),$W$7&gt;0,W52&lt;=0),0,
IF(AND(W$10&gt;TODAY(),$W$7&lt;=0,W53&lt;=0),0,
IF(W85&lt;=0,1,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f>
        <v>0</v>
      </c>
      <c r="X66" s="432">
        <f ca="1">IF(EB.Anwendung&lt;&gt;"",
IF(AND(X$10&gt;TODAY(),$W$7&gt;0,X52&lt;=0),0,
IF(AND(X$10&gt;TODAY(),$W$7&lt;=0,X53&lt;=0),0,
IF(X85&lt;=0,1,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f>
        <v>1</v>
      </c>
      <c r="Y66" s="354">
        <f ca="1">IF(EB.Anwendung&lt;&gt;"",
IF(AND(Y$10&gt;TODAY(),$W$7&gt;0,Y52&lt;=0),0,
IF(AND(Y$10&gt;TODAY(),$W$7&lt;=0,Y53&lt;=0),0,
IF(Y85&lt;=0,1,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f>
        <v>1</v>
      </c>
      <c r="Z66" s="354">
        <f ca="1">IF(EB.Anwendung&lt;&gt;"",
IF(AND(Z$10&gt;TODAY(),$W$7&gt;0,Z52&lt;=0),0,
IF(AND(Z$10&gt;TODAY(),$W$7&lt;=0,Z53&lt;=0),0,
IF(Z85&lt;=0,1,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f>
        <v>1</v>
      </c>
      <c r="AA66" s="354">
        <f ca="1">IF(EB.Anwendung&lt;&gt;"",
IF(AND(AA$10&gt;TODAY(),$W$7&gt;0,AA52&lt;=0),0,
IF(AND(AA$10&gt;TODAY(),$W$7&lt;=0,AA53&lt;=0),0,
IF(AA85&lt;=0,1,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f>
        <v>1</v>
      </c>
      <c r="AB66" s="354">
        <f ca="1">IF(EB.Anwendung&lt;&gt;"",
IF(AND(AB$10&gt;TODAY(),$W$7&gt;0,AB52&lt;=0),0,
IF(AND(AB$10&gt;TODAY(),$W$7&lt;=0,AB53&lt;=0),0,
IF(AB85&lt;=0,1,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f>
        <v>1</v>
      </c>
      <c r="AC66" s="354">
        <f ca="1">IF(EB.Anwendung&lt;&gt;"",
IF(AND(AC$10&gt;TODAY(),$W$7&gt;0,AC52&lt;=0),0,
IF(AND(AC$10&gt;TODAY(),$W$7&lt;=0,AC53&lt;=0),0,
IF(AC85&lt;=0,1,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f>
        <v>0</v>
      </c>
      <c r="AD66" s="354">
        <f ca="1">IF(EB.Anwendung&lt;&gt;"",
IF(AND(AD$10&gt;TODAY(),$W$7&gt;0,AD52&lt;=0),0,
IF(AND(AD$10&gt;TODAY(),$W$7&lt;=0,AD53&lt;=0),0,
IF(AD85&lt;=0,1,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f>
        <v>0</v>
      </c>
      <c r="AE66" s="354">
        <f ca="1">IF(EB.Anwendung&lt;&gt;"",
IF(AND(AE$10&gt;TODAY(),$W$7&gt;0,AE52&lt;=0),0,
IF(AND(AE$10&gt;TODAY(),$W$7&lt;=0,AE53&lt;=0),0,
IF(AE85&lt;=0,1,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f>
        <v>1</v>
      </c>
      <c r="AF66" s="433">
        <f ca="1">IF(EB.Anwendung&lt;&gt;"",
IF(AND(AF$10&gt;TODAY(),$W$7&gt;0,AF52&lt;=0),0,
IF(AND(AF$10&gt;TODAY(),$W$7&lt;=0,AF53&lt;=0),0,
IF(AF85&lt;=0,1,
IF(DAY(AF$10)=1,IF(MONTH(Monat.Tag1)=1,1,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E68)))),"")</f>
        <v>1</v>
      </c>
      <c r="AG66" s="212"/>
      <c r="AH66" s="188"/>
      <c r="AI66" s="213"/>
      <c r="AJ66" s="214"/>
      <c r="AK66" s="209"/>
      <c r="AL66" s="209"/>
      <c r="AM66" s="209"/>
      <c r="AN66" s="208"/>
      <c r="AO66" s="209"/>
      <c r="AP66" s="209"/>
      <c r="AQ66" s="119"/>
    </row>
    <row r="67" spans="1:43" s="38" customFormat="1" ht="15" customHeight="1" outlineLevel="1" x14ac:dyDescent="0.2">
      <c r="A67" s="212" t="s">
        <v>79</v>
      </c>
      <c r="B67" s="27"/>
      <c r="C67" s="27"/>
      <c r="D67" s="27"/>
      <c r="E67" s="27"/>
      <c r="F67" s="27"/>
      <c r="G67" s="27"/>
      <c r="H67" s="27"/>
      <c r="I67" s="27"/>
      <c r="J67" s="27"/>
      <c r="K67" s="27"/>
      <c r="L67" s="27"/>
      <c r="M67" s="27"/>
      <c r="N67" s="27"/>
      <c r="O67" s="27"/>
      <c r="P67" s="27"/>
      <c r="Q67" s="27"/>
      <c r="R67" s="27"/>
      <c r="S67" s="27"/>
      <c r="T67" s="27"/>
      <c r="U67" s="27"/>
      <c r="V67" s="27"/>
      <c r="W67" s="27"/>
      <c r="X67" s="27"/>
      <c r="Y67" s="27"/>
      <c r="Z67" s="39"/>
      <c r="AA67" s="27"/>
      <c r="AB67" s="27"/>
      <c r="AC67" s="27"/>
      <c r="AD67" s="27"/>
      <c r="AE67" s="27"/>
      <c r="AF67" s="27"/>
      <c r="AG67" s="205" t="str">
        <f ca="1">A67 &amp; IFERROR(IF(SUMPRODUCT((B66:AF66=0)*(B67:AF67&gt;0))&gt;0," (!)",""),"")</f>
        <v>Compensation working hours</v>
      </c>
      <c r="AH67" s="218"/>
      <c r="AI67" s="238">
        <f>SUM(B67:AF67)</f>
        <v>0</v>
      </c>
      <c r="AJ67" s="261"/>
      <c r="AK67" s="245">
        <f ca="1">OFFSET(EB.MKAStd.Knoten,MONTH(Monat.Tag1),0,1,1)</f>
        <v>0.4375</v>
      </c>
      <c r="AL67" s="272">
        <f ca="1">IF(EB.Anwendung&lt;&gt;"",IF(MONTH(Monat.Tag1)=1,0,IF(MONTH(Monat.Tag1)=2,January!Monat.KomUeVM,IF(MONTH(Monat.Tag1)=3,February!Monat.KomUeVM,IF(MONTH(Monat.Tag1)=4,March!Monat.KomUeVM,IF(MONTH(Monat.Tag1)=5,April!Monat.KomUeVM,IF(MONTH(Monat.Tag1)=6,May!Monat.KomUeVM,IF(MONTH(Monat.Tag1)=7,June!Monat.KomUeVM,IF(MONTH(Monat.Tag1)=8,July!Monat.KomUeVM,IF(MONTH(Monat.Tag1)=9,August!Monat.KomUeVM,IF(MONTH(Monat.Tag1)=10,September!Monat.KomUeVM,IF(MONTH(Monat.Tag1)=11,October!Monat.KomUeVM,IF(MONTH(Monat.Tag1)=12,November!Monat.KomUeVM,"")))))))))))),"")</f>
        <v>0.875</v>
      </c>
      <c r="AM67" s="209"/>
      <c r="AN67" s="246">
        <f ca="1">AK67+AL67-Monat.KomAZ.Total</f>
        <v>1.3125</v>
      </c>
      <c r="AO67" s="246">
        <f ca="1">Jahresabrechnung!P12-SUM(OFFSET(Jahresabrechnung!P15,0,0,MONTH(Monat.Tag1),1))</f>
        <v>5.25</v>
      </c>
      <c r="AP67" s="246">
        <f ca="1">Jahresabrechnung!P28</f>
        <v>5.25</v>
      </c>
      <c r="AQ67" s="119"/>
    </row>
    <row r="68" spans="1:43" s="38" customFormat="1" ht="11.25" customHeight="1" x14ac:dyDescent="0.2">
      <c r="A68" s="220"/>
      <c r="B68" s="434">
        <f ca="1">IF(EB.Anwendung&lt;&gt;"",
IF(B67&gt;0,0,
IF(SUM(B23,B45)&gt;0,1,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
)),"")</f>
        <v>1</v>
      </c>
      <c r="C68" s="434">
        <f ca="1">IF(EB.Anwendung&lt;&gt;"",
IF(C67&gt;0,0,
IF(SUM(C23,C45)&gt;0,1,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
)),"")</f>
        <v>1</v>
      </c>
      <c r="D68" s="434">
        <f ca="1">IF(EB.Anwendung&lt;&gt;"",
IF(D67&gt;0,0,
IF(SUM(D23,D45)&gt;0,1,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
)),"")</f>
        <v>1</v>
      </c>
      <c r="E68" s="434">
        <f ca="1">IF(EB.Anwendung&lt;&gt;"",
IF(E67&gt;0,0,
IF(SUM(E23,E45)&gt;0,1,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
)),"")</f>
        <v>1</v>
      </c>
      <c r="F68" s="434">
        <f ca="1">IF(EB.Anwendung&lt;&gt;"",
IF(F67&gt;0,0,
IF(SUM(F23,F45)&gt;0,1,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
)),"")</f>
        <v>1</v>
      </c>
      <c r="G68" s="434">
        <f ca="1">IF(EB.Anwendung&lt;&gt;"",
IF(G67&gt;0,0,
IF(SUM(G23,G45)&gt;0,1,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
)),"")</f>
        <v>1</v>
      </c>
      <c r="H68" s="434">
        <f ca="1">IF(EB.Anwendung&lt;&gt;"",
IF(H67&gt;0,0,
IF(SUM(H23,H45)&gt;0,1,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
)),"")</f>
        <v>1</v>
      </c>
      <c r="I68" s="434">
        <f ca="1">IF(EB.Anwendung&lt;&gt;"",
IF(I67&gt;0,0,
IF(SUM(I23,I45)&gt;0,1,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
)),"")</f>
        <v>1</v>
      </c>
      <c r="J68" s="434">
        <f ca="1">IF(EB.Anwendung&lt;&gt;"",
IF(J67&gt;0,0,
IF(SUM(J23,J45)&gt;0,1,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
)),"")</f>
        <v>1</v>
      </c>
      <c r="K68" s="434">
        <f ca="1">IF(EB.Anwendung&lt;&gt;"",
IF(K67&gt;0,0,
IF(SUM(K23,K45)&gt;0,1,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
)),"")</f>
        <v>1</v>
      </c>
      <c r="L68" s="434">
        <f ca="1">IF(EB.Anwendung&lt;&gt;"",
IF(L67&gt;0,0,
IF(SUM(L23,L45)&gt;0,1,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
)),"")</f>
        <v>1</v>
      </c>
      <c r="M68" s="434">
        <f ca="1">IF(EB.Anwendung&lt;&gt;"",
IF(M67&gt;0,0,
IF(SUM(M23,M45)&gt;0,1,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
)),"")</f>
        <v>1</v>
      </c>
      <c r="N68" s="434">
        <f ca="1">IF(EB.Anwendung&lt;&gt;"",
IF(N67&gt;0,0,
IF(SUM(N23,N45)&gt;0,1,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
)),"")</f>
        <v>1</v>
      </c>
      <c r="O68" s="434">
        <f ca="1">IF(EB.Anwendung&lt;&gt;"",
IF(O67&gt;0,0,
IF(SUM(O23,O45)&gt;0,1,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
)),"")</f>
        <v>1</v>
      </c>
      <c r="P68" s="434">
        <f ca="1">IF(EB.Anwendung&lt;&gt;"",
IF(P67&gt;0,0,
IF(SUM(P23,P45)&gt;0,1,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
)),"")</f>
        <v>1</v>
      </c>
      <c r="Q68" s="434">
        <f ca="1">IF(EB.Anwendung&lt;&gt;"",
IF(Q67&gt;0,0,
IF(SUM(Q23,Q45)&gt;0,1,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
)),"")</f>
        <v>1</v>
      </c>
      <c r="R68" s="434">
        <f ca="1">IF(EB.Anwendung&lt;&gt;"",
IF(R67&gt;0,0,
IF(SUM(R23,R45)&gt;0,1,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
)),"")</f>
        <v>1</v>
      </c>
      <c r="S68" s="434">
        <f ca="1">IF(EB.Anwendung&lt;&gt;"",
IF(S67&gt;0,0,
IF(SUM(S23,S45)&gt;0,1,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
)),"")</f>
        <v>1</v>
      </c>
      <c r="T68" s="434">
        <f ca="1">IF(EB.Anwendung&lt;&gt;"",
IF(T67&gt;0,0,
IF(SUM(T23,T45)&gt;0,1,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
)),"")</f>
        <v>1</v>
      </c>
      <c r="U68" s="434">
        <f ca="1">IF(EB.Anwendung&lt;&gt;"",
IF(U67&gt;0,0,
IF(SUM(U23,U45)&gt;0,1,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
)),"")</f>
        <v>1</v>
      </c>
      <c r="V68" s="434">
        <f ca="1">IF(EB.Anwendung&lt;&gt;"",
IF(V67&gt;0,0,
IF(SUM(V23,V45)&gt;0,1,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
)),"")</f>
        <v>1</v>
      </c>
      <c r="W68" s="434">
        <f ca="1">IF(EB.Anwendung&lt;&gt;"",
IF(W67&gt;0,0,
IF(SUM(W23,W45)&gt;0,1,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
)),"")</f>
        <v>1</v>
      </c>
      <c r="X68" s="434">
        <f ca="1">IF(EB.Anwendung&lt;&gt;"",
IF(X67&gt;0,0,
IF(SUM(X23,X45)&gt;0,1,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
)),"")</f>
        <v>1</v>
      </c>
      <c r="Y68" s="434">
        <f ca="1">IF(EB.Anwendung&lt;&gt;"",
IF(Y67&gt;0,0,
IF(SUM(Y23,Y45)&gt;0,1,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
)),"")</f>
        <v>1</v>
      </c>
      <c r="Z68" s="434">
        <f ca="1">IF(EB.Anwendung&lt;&gt;"",
IF(Z67&gt;0,0,
IF(SUM(Z23,Z45)&gt;0,1,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
)),"")</f>
        <v>1</v>
      </c>
      <c r="AA68" s="434">
        <f ca="1">IF(EB.Anwendung&lt;&gt;"",
IF(AA67&gt;0,0,
IF(SUM(AA23,AA45)&gt;0,1,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
)),"")</f>
        <v>1</v>
      </c>
      <c r="AB68" s="434">
        <f ca="1">IF(EB.Anwendung&lt;&gt;"",
IF(AB67&gt;0,0,
IF(SUM(AB23,AB45)&gt;0,1,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
)),"")</f>
        <v>1</v>
      </c>
      <c r="AC68" s="434">
        <f ca="1">IF(EB.Anwendung&lt;&gt;"",
IF(AC67&gt;0,0,
IF(SUM(AC23,AC45)&gt;0,1,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
)),"")</f>
        <v>1</v>
      </c>
      <c r="AD68" s="434">
        <f ca="1">IF(EB.Anwendung&lt;&gt;"",
IF(AD67&gt;0,0,
IF(SUM(AD23,AD45)&gt;0,1,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
)),"")</f>
        <v>1</v>
      </c>
      <c r="AE68" s="434">
        <f ca="1">IF(EB.Anwendung&lt;&gt;"",
IF(AE67&gt;0,0,
IF(SUM(AE23,AE45)&gt;0,1,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
)),"")</f>
        <v>1</v>
      </c>
      <c r="AF68" s="435">
        <f ca="1">IF(EB.Anwendung&lt;&gt;"",
IF(AF67&gt;0,0,
IF(SUM(AF23,AF45)&gt;0,1,
IF(DAY(AF$10)=1,IF(MONTH(Monat.Tag1)=1,1,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E68)
)),"")</f>
        <v>1</v>
      </c>
      <c r="AG68" s="205"/>
      <c r="AH68" s="188"/>
      <c r="AI68" s="213"/>
      <c r="AJ68" s="214"/>
      <c r="AK68" s="209"/>
      <c r="AL68" s="209"/>
      <c r="AM68" s="209"/>
      <c r="AN68" s="436">
        <f ca="1">IF(OFFSET(A68,0,DAY(EOMONTH(Monat.Tag1,0)))=0,0,1)</f>
        <v>1</v>
      </c>
      <c r="AO68" s="209"/>
      <c r="AP68" s="209"/>
      <c r="AQ68" s="119"/>
    </row>
    <row r="69" spans="1:43" s="38" customFormat="1" ht="15" hidden="1" customHeight="1" x14ac:dyDescent="0.2">
      <c r="A69" s="212" t="s">
        <v>220</v>
      </c>
      <c r="B69" s="273">
        <f t="shared" ref="B69:AF69" ca="1" si="18">IF(AND(T.50_Vetsuisse,B72=INDEX(T.JaNein.Bereich,1,1),B73&gt;0,MOD(IFERROR(MATCH(1,B13:B22,0),1),2)=0),1,
IF(AND(T.ServiceCenterIrchel,B72=INDEX(T.JaNein.Bereich,1,1),B77&gt;0),1,
IF(AND(T.50_Vetsuisse=FALSE,T.ServiceCenterIrchel=FALSE,B77&gt;0),1,0)))</f>
        <v>0</v>
      </c>
      <c r="C69" s="273">
        <f t="shared" ca="1" si="18"/>
        <v>0</v>
      </c>
      <c r="D69" s="273">
        <f t="shared" ca="1" si="18"/>
        <v>0</v>
      </c>
      <c r="E69" s="273">
        <f t="shared" ca="1" si="18"/>
        <v>0</v>
      </c>
      <c r="F69" s="273">
        <f t="shared" ca="1" si="18"/>
        <v>0</v>
      </c>
      <c r="G69" s="273">
        <f t="shared" ca="1" si="18"/>
        <v>0</v>
      </c>
      <c r="H69" s="273">
        <f t="shared" ca="1" si="18"/>
        <v>0</v>
      </c>
      <c r="I69" s="273">
        <f t="shared" ca="1" si="18"/>
        <v>0</v>
      </c>
      <c r="J69" s="273">
        <f t="shared" ca="1" si="18"/>
        <v>0</v>
      </c>
      <c r="K69" s="273">
        <f t="shared" ca="1" si="18"/>
        <v>0</v>
      </c>
      <c r="L69" s="273">
        <f t="shared" ca="1" si="18"/>
        <v>0</v>
      </c>
      <c r="M69" s="273">
        <f t="shared" ca="1" si="18"/>
        <v>0</v>
      </c>
      <c r="N69" s="273">
        <f t="shared" ca="1" si="18"/>
        <v>0</v>
      </c>
      <c r="O69" s="273">
        <f t="shared" ca="1" si="18"/>
        <v>0</v>
      </c>
      <c r="P69" s="273">
        <f t="shared" ca="1" si="18"/>
        <v>0</v>
      </c>
      <c r="Q69" s="273">
        <f t="shared" ca="1" si="18"/>
        <v>0</v>
      </c>
      <c r="R69" s="273">
        <f t="shared" ca="1" si="18"/>
        <v>0</v>
      </c>
      <c r="S69" s="273">
        <f t="shared" ca="1" si="18"/>
        <v>0</v>
      </c>
      <c r="T69" s="273">
        <f t="shared" ca="1" si="18"/>
        <v>0</v>
      </c>
      <c r="U69" s="273">
        <f t="shared" ca="1" si="18"/>
        <v>0</v>
      </c>
      <c r="V69" s="273">
        <f t="shared" ca="1" si="18"/>
        <v>0</v>
      </c>
      <c r="W69" s="273">
        <f t="shared" ca="1" si="18"/>
        <v>0</v>
      </c>
      <c r="X69" s="273">
        <f t="shared" ca="1" si="18"/>
        <v>0</v>
      </c>
      <c r="Y69" s="273">
        <f t="shared" ca="1" si="18"/>
        <v>0</v>
      </c>
      <c r="Z69" s="273">
        <f t="shared" ca="1" si="18"/>
        <v>0</v>
      </c>
      <c r="AA69" s="273">
        <f t="shared" ca="1" si="18"/>
        <v>0</v>
      </c>
      <c r="AB69" s="273">
        <f t="shared" ca="1" si="18"/>
        <v>0</v>
      </c>
      <c r="AC69" s="273">
        <f t="shared" ca="1" si="18"/>
        <v>0</v>
      </c>
      <c r="AD69" s="273">
        <f t="shared" ca="1" si="18"/>
        <v>0</v>
      </c>
      <c r="AE69" s="273">
        <f t="shared" ca="1" si="18"/>
        <v>0</v>
      </c>
      <c r="AF69" s="273">
        <f t="shared" ca="1" si="18"/>
        <v>0</v>
      </c>
      <c r="AG69" s="205" t="str">
        <f>A69</f>
        <v>Counter night shift</v>
      </c>
      <c r="AH69" s="274"/>
      <c r="AI69" s="275">
        <f ca="1">SUM(B69:AF69)</f>
        <v>0</v>
      </c>
      <c r="AJ69" s="261"/>
      <c r="AK69" s="224"/>
      <c r="AL69" s="276">
        <f ca="1">IF(EB.Anwendung&lt;&gt;"",IF(MONTH(Monat.Tag1)=1,0,IF(MONTH(Monat.Tag1)=2,January!Monat.ZählerNDUe,IF(MONTH(Monat.Tag1)=3,February!Monat.ZählerNDUe,IF(MONTH(Monat.Tag1)=4,March!Monat.ZählerNDUe,IF(MONTH(Monat.Tag1)=5,April!Monat.ZählerNDUe,IF(MONTH(Monat.Tag1)=6,May!Monat.ZählerNDUe,IF(MONTH(Monat.Tag1)=7,June!Monat.ZählerNDUe,IF(MONTH(Monat.Tag1)=8,July!Monat.ZählerNDUe,IF(MONTH(Monat.Tag1)=9,August!Monat.ZählerNDUe,IF(MONTH(Monat.Tag1)=10,September!Monat.ZählerNDUe,IF(MONTH(Monat.Tag1)=11,October!Monat.ZählerNDUe,IF(MONTH(Monat.Tag1)=12,November!Monat.ZählerNDUe,"")))))))))))),"")</f>
        <v>0</v>
      </c>
      <c r="AM69" s="209"/>
      <c r="AN69" s="277">
        <f ca="1">AL69+AI69</f>
        <v>0</v>
      </c>
      <c r="AO69" s="208"/>
      <c r="AP69" s="208"/>
      <c r="AQ69" s="119"/>
    </row>
    <row r="70" spans="1:43" s="38" customFormat="1" ht="15" hidden="1" customHeight="1" x14ac:dyDescent="0.2">
      <c r="A70" s="212" t="s">
        <v>221</v>
      </c>
      <c r="B70" s="273">
        <f t="shared" ref="B70:AF70" ca="1" si="19">IF(DAY(B$10)=1,$AL$69,A70)+B69</f>
        <v>0</v>
      </c>
      <c r="C70" s="273">
        <f t="shared" ca="1" si="19"/>
        <v>0</v>
      </c>
      <c r="D70" s="273">
        <f t="shared" ca="1" si="19"/>
        <v>0</v>
      </c>
      <c r="E70" s="273">
        <f t="shared" ca="1" si="19"/>
        <v>0</v>
      </c>
      <c r="F70" s="273">
        <f t="shared" ca="1" si="19"/>
        <v>0</v>
      </c>
      <c r="G70" s="273">
        <f t="shared" ca="1" si="19"/>
        <v>0</v>
      </c>
      <c r="H70" s="273">
        <f t="shared" ca="1" si="19"/>
        <v>0</v>
      </c>
      <c r="I70" s="273">
        <f t="shared" ca="1" si="19"/>
        <v>0</v>
      </c>
      <c r="J70" s="273">
        <f t="shared" ca="1" si="19"/>
        <v>0</v>
      </c>
      <c r="K70" s="273">
        <f t="shared" ca="1" si="19"/>
        <v>0</v>
      </c>
      <c r="L70" s="273">
        <f t="shared" ca="1" si="19"/>
        <v>0</v>
      </c>
      <c r="M70" s="273">
        <f t="shared" ca="1" si="19"/>
        <v>0</v>
      </c>
      <c r="N70" s="273">
        <f t="shared" ca="1" si="19"/>
        <v>0</v>
      </c>
      <c r="O70" s="273">
        <f t="shared" ca="1" si="19"/>
        <v>0</v>
      </c>
      <c r="P70" s="273">
        <f t="shared" ca="1" si="19"/>
        <v>0</v>
      </c>
      <c r="Q70" s="273">
        <f t="shared" ca="1" si="19"/>
        <v>0</v>
      </c>
      <c r="R70" s="273">
        <f t="shared" ca="1" si="19"/>
        <v>0</v>
      </c>
      <c r="S70" s="273">
        <f t="shared" ca="1" si="19"/>
        <v>0</v>
      </c>
      <c r="T70" s="273">
        <f t="shared" ca="1" si="19"/>
        <v>0</v>
      </c>
      <c r="U70" s="273">
        <f t="shared" ca="1" si="19"/>
        <v>0</v>
      </c>
      <c r="V70" s="273">
        <f t="shared" ca="1" si="19"/>
        <v>0</v>
      </c>
      <c r="W70" s="273">
        <f t="shared" ca="1" si="19"/>
        <v>0</v>
      </c>
      <c r="X70" s="273">
        <f t="shared" ca="1" si="19"/>
        <v>0</v>
      </c>
      <c r="Y70" s="273">
        <f t="shared" ca="1" si="19"/>
        <v>0</v>
      </c>
      <c r="Z70" s="273">
        <f t="shared" ca="1" si="19"/>
        <v>0</v>
      </c>
      <c r="AA70" s="273">
        <f t="shared" ca="1" si="19"/>
        <v>0</v>
      </c>
      <c r="AB70" s="273">
        <f t="shared" ca="1" si="19"/>
        <v>0</v>
      </c>
      <c r="AC70" s="273">
        <f t="shared" ca="1" si="19"/>
        <v>0</v>
      </c>
      <c r="AD70" s="273">
        <f t="shared" ca="1" si="19"/>
        <v>0</v>
      </c>
      <c r="AE70" s="273">
        <f t="shared" ca="1" si="19"/>
        <v>0</v>
      </c>
      <c r="AF70" s="273">
        <f t="shared" ca="1" si="19"/>
        <v>0</v>
      </c>
      <c r="AG70" s="205" t="str">
        <f t="shared" ref="AG70:AG82" si="20">A70</f>
        <v>Balance counter night shift</v>
      </c>
      <c r="AH70" s="228"/>
      <c r="AI70" s="224"/>
      <c r="AJ70" s="278"/>
      <c r="AK70" s="262"/>
      <c r="AL70" s="262"/>
      <c r="AM70" s="209"/>
      <c r="AN70" s="279"/>
      <c r="AO70" s="208"/>
      <c r="AP70" s="208"/>
      <c r="AQ70" s="119"/>
    </row>
    <row r="71" spans="1:43" s="38" customFormat="1" ht="15" hidden="1" customHeight="1" outlineLevel="1" x14ac:dyDescent="0.2">
      <c r="A71" s="212" t="s">
        <v>222</v>
      </c>
      <c r="B71" s="40"/>
      <c r="C71" s="40"/>
      <c r="D71" s="40"/>
      <c r="E71" s="27"/>
      <c r="F71" s="40"/>
      <c r="G71" s="40"/>
      <c r="H71" s="40"/>
      <c r="I71" s="40"/>
      <c r="J71" s="27"/>
      <c r="K71" s="40"/>
      <c r="L71" s="27"/>
      <c r="M71" s="40"/>
      <c r="N71" s="40"/>
      <c r="O71" s="40"/>
      <c r="P71" s="40"/>
      <c r="Q71" s="27"/>
      <c r="R71" s="40"/>
      <c r="S71" s="27"/>
      <c r="T71" s="27"/>
      <c r="U71" s="40"/>
      <c r="V71" s="40"/>
      <c r="W71" s="40"/>
      <c r="X71" s="27"/>
      <c r="Y71" s="40"/>
      <c r="Z71" s="39"/>
      <c r="AA71" s="40"/>
      <c r="AB71" s="40"/>
      <c r="AC71" s="40"/>
      <c r="AD71" s="40"/>
      <c r="AE71" s="27"/>
      <c r="AF71" s="40"/>
      <c r="AG71" s="205" t="str">
        <f t="shared" si="20"/>
        <v>Compensation TS night shift</v>
      </c>
      <c r="AH71" s="218"/>
      <c r="AI71" s="238">
        <f t="shared" ref="AI71" si="21">SUM(B71:AF71)</f>
        <v>0</v>
      </c>
      <c r="AJ71" s="261"/>
      <c r="AK71" s="262"/>
      <c r="AL71" s="245">
        <f ca="1">IF(EB.Anwendung&lt;&gt;"",IF(MONTH(Monat.Tag1)=1,0,IF(MONTH(Monat.Tag1)=2,January!Monat.KompZZSNDUeVM,IF(MONTH(Monat.Tag1)=3,February!Monat.KompZZSNDUeVM,IF(MONTH(Monat.Tag1)=4,March!Monat.KompZZSNDUeVM,IF(MONTH(Monat.Tag1)=5,April!Monat.KompZZSNDUeVM,IF(MONTH(Monat.Tag1)=6,May!Monat.KompZZSNDUeVM,IF(MONTH(Monat.Tag1)=7,June!Monat.KompZZSNDUeVM,IF(MONTH(Monat.Tag1)=8,July!Monat.KompZZSNDUeVM,IF(MONTH(Monat.Tag1)=9,August!Monat.KompZZSNDUeVM,IF(MONTH(Monat.Tag1)=10,September!Monat.KompZZSNDUeVM,IF(MONTH(Monat.Tag1)=11,October!Monat.KompZZSNDUeVM,IF(MONTH(Monat.Tag1)=12,November!Monat.KompZZSNDUeVM,"")))))))))))),"")</f>
        <v>0</v>
      </c>
      <c r="AM71" s="209"/>
      <c r="AN71" s="246">
        <f ca="1">AI71+AL71</f>
        <v>0</v>
      </c>
      <c r="AO71" s="246">
        <f ca="1">SUM(OFFSET(Jahr.KompZZSND,-12,0,MONTH(Monat.Tag1),1))</f>
        <v>0</v>
      </c>
      <c r="AP71" s="246">
        <f ca="1">Jahr.KompZZSND</f>
        <v>0</v>
      </c>
      <c r="AQ71" s="119"/>
    </row>
    <row r="72" spans="1:43" s="38" customFormat="1" ht="15" hidden="1" customHeight="1" outlineLevel="1" x14ac:dyDescent="0.2">
      <c r="A72" s="212" t="s">
        <v>223</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205" t="str">
        <f t="shared" si="20"/>
        <v>Start pl. night shift Yes/No</v>
      </c>
      <c r="AH72" s="218"/>
      <c r="AI72" s="224"/>
      <c r="AJ72" s="229">
        <f ca="1">IFERROR(SUMPRODUCT((B72:AF72=INDEX(T.JaNein.Bereich,1))*(B72:AF72&lt;&gt;"")),0)</f>
        <v>0</v>
      </c>
      <c r="AK72" s="262"/>
      <c r="AL72" s="229">
        <f ca="1">AL69</f>
        <v>0</v>
      </c>
      <c r="AM72" s="209"/>
      <c r="AN72" s="277">
        <f ca="1">AN69</f>
        <v>0</v>
      </c>
      <c r="AO72" s="209"/>
      <c r="AP72" s="209"/>
      <c r="AQ72" s="119"/>
    </row>
    <row r="73" spans="1:43" s="38" customFormat="1" ht="15" customHeight="1" outlineLevel="1" x14ac:dyDescent="0.2">
      <c r="A73" s="212" t="s">
        <v>88</v>
      </c>
      <c r="B73" s="280">
        <f t="shared" ref="B73:AF73" ca="1" si="22">IF(B$12=0,0,IF(OR(T.50_Vetsuisse,T.ServiceCenterIrchel),ROUND((B14-B13+MAX(0,T.Nachtab-MAX(T.Nachtbis,B14))-MAX(0,T.Nachtab-MAX(B13,T.Nachtbis))+(B13&gt;B14)*(1+T.Nachtbis-T.Nachtab)+B16-B15+MAX(0,T.Nachtab-MAX(T.Nachtbis,B16))-MAX(0,T.Nachtab-MAX(B15,T.Nachtbis))+(B15&gt;B16)*(1+T.Nachtbis-T.Nachtab)+B18-B17+MAX(0,T.Nachtab-MAX(T.Nachtbis,B18))-MAX(0,T.Nachtab-MAX(B17,T.Nachtbis))+(B17&gt;B18)*(1+T.Nachtbis-T.Nachtab)+B20-B19+MAX(0,T.Nachtab-MAX(T.Nachtbis,B20))-MAX(0,T.Nachtab-MAX(B19,T.Nachtbis))+(B19&gt;B20)*(1+T.Nachtbis-T.Nachtab)+B22-B21+MAX(0,T.Nachtab-MAX(T.Nachtbis,B22))-MAX(0,T.Nachtab-MAX(B21,T.Nachtbis))+(B21&gt;B22)*(1+T.Nachtbis-T.Nachtab))*1440,0)/1440,
IF(AND(WEEKDAY(B$10,2)&lt;6,B$11&lt;&gt;0),ROUND((B36-B35+MAX(0,T.Nachtab-MAX(T.Nachtbis,B36))-MAX(0,T.Nachtab-MAX(B35,T.Nachtbis))+(B35&gt;B36)*(1+T.Nachtbis-T.Nachtab)+B38-B37+MAX(0,T.Nachtab-MAX(T.Nachtbis,B38))-MAX(0,T.Nachtab-MAX(B37,T.Nachtbis))+(B37&gt;B38)*(1+T.Nachtbis-T.Nachtab)+B40-B39+MAX(0,T.Nachtab-MAX(T.Nachtbis,B40))-MAX(0,T.Nachtab-MAX(B39,T.Nachtbis))+(B39&gt;B40)*(1+T.Nachtbis-T.Nachtab)+B42-B41+MAX(0,T.Nachtab-MAX(T.Nachtbis,B42))-MAX(0,T.Nachtab-MAX(B41,T.Nachtbis))+(B41&gt;B42)*(1+T.Nachtbis-T.Nachtab)+B44-B43+MAX(0,T.Nachtab-MAX(T.Nachtbis,B44))-MAX(0,T.Nachtab-MAX(B43,T.Nachtbis))+(B43&gt;B44)*(1+T.Nachtbis-T.Nachtab))*1440,0)/1440,0)))</f>
        <v>0</v>
      </c>
      <c r="C73" s="280">
        <f t="shared" ca="1" si="22"/>
        <v>0</v>
      </c>
      <c r="D73" s="280">
        <f t="shared" ca="1" si="22"/>
        <v>0</v>
      </c>
      <c r="E73" s="280">
        <f t="shared" ca="1" si="22"/>
        <v>0</v>
      </c>
      <c r="F73" s="280">
        <f t="shared" ca="1" si="22"/>
        <v>0</v>
      </c>
      <c r="G73" s="280">
        <f t="shared" ca="1" si="22"/>
        <v>0</v>
      </c>
      <c r="H73" s="280">
        <f t="shared" ca="1" si="22"/>
        <v>0</v>
      </c>
      <c r="I73" s="280">
        <f t="shared" ca="1" si="22"/>
        <v>0</v>
      </c>
      <c r="J73" s="280">
        <f t="shared" ca="1" si="22"/>
        <v>0</v>
      </c>
      <c r="K73" s="280">
        <f t="shared" ca="1" si="22"/>
        <v>0</v>
      </c>
      <c r="L73" s="280">
        <f t="shared" ca="1" si="22"/>
        <v>0</v>
      </c>
      <c r="M73" s="280">
        <f t="shared" ca="1" si="22"/>
        <v>0</v>
      </c>
      <c r="N73" s="280">
        <f t="shared" ca="1" si="22"/>
        <v>0</v>
      </c>
      <c r="O73" s="280">
        <f t="shared" ca="1" si="22"/>
        <v>0</v>
      </c>
      <c r="P73" s="280">
        <f t="shared" ca="1" si="22"/>
        <v>0</v>
      </c>
      <c r="Q73" s="280">
        <f t="shared" ca="1" si="22"/>
        <v>0</v>
      </c>
      <c r="R73" s="280">
        <f t="shared" ca="1" si="22"/>
        <v>0</v>
      </c>
      <c r="S73" s="280">
        <f t="shared" ca="1" si="22"/>
        <v>0</v>
      </c>
      <c r="T73" s="280">
        <f t="shared" ca="1" si="22"/>
        <v>0</v>
      </c>
      <c r="U73" s="280">
        <f t="shared" ca="1" si="22"/>
        <v>0</v>
      </c>
      <c r="V73" s="280">
        <f t="shared" ca="1" si="22"/>
        <v>0</v>
      </c>
      <c r="W73" s="280">
        <f t="shared" ca="1" si="22"/>
        <v>0</v>
      </c>
      <c r="X73" s="280">
        <f t="shared" ca="1" si="22"/>
        <v>0</v>
      </c>
      <c r="Y73" s="280">
        <f t="shared" ca="1" si="22"/>
        <v>0</v>
      </c>
      <c r="Z73" s="280">
        <f t="shared" ca="1" si="22"/>
        <v>0</v>
      </c>
      <c r="AA73" s="280">
        <f t="shared" ca="1" si="22"/>
        <v>0</v>
      </c>
      <c r="AB73" s="280">
        <f t="shared" ca="1" si="22"/>
        <v>0</v>
      </c>
      <c r="AC73" s="280">
        <f t="shared" ca="1" si="22"/>
        <v>0</v>
      </c>
      <c r="AD73" s="280">
        <f t="shared" ca="1" si="22"/>
        <v>0</v>
      </c>
      <c r="AE73" s="280">
        <f t="shared" ca="1" si="22"/>
        <v>0</v>
      </c>
      <c r="AF73" s="280">
        <f t="shared" ca="1" si="22"/>
        <v>0</v>
      </c>
      <c r="AG73" s="205" t="str">
        <f t="shared" si="20"/>
        <v>Night shift</v>
      </c>
      <c r="AH73" s="228"/>
      <c r="AI73" s="238">
        <f ca="1">SUM(B73:AF73)</f>
        <v>0</v>
      </c>
      <c r="AJ73" s="229">
        <f ca="1">IF(OR(T.50_Vetsuisse,T.ServiceCenterIrchel),AI69,
IFERROR(SUMPRODUCT((B77:AF77&gt;0)*(B77:AF77&lt;&gt;"")),0))</f>
        <v>0</v>
      </c>
      <c r="AK73" s="224"/>
      <c r="AL73" s="245">
        <f ca="1">IF(EB.Anwendung&lt;&gt;"",IF(MONTH(Monat.Tag1)=1,0,IF(MONTH(Monat.Tag1)=2,January!Monat.NDUeVM,IF(MONTH(Monat.Tag1)=3,February!Monat.NDUeVM,IF(MONTH(Monat.Tag1)=4,March!Monat.NDUeVM,IF(MONTH(Monat.Tag1)=5,April!Monat.NDUeVM,IF(MONTH(Monat.Tag1)=6,May!Monat.NDUeVM,IF(MONTH(Monat.Tag1)=7,June!Monat.NDUeVM,IF(MONTH(Monat.Tag1)=8,July!Monat.NDUeVM,IF(MONTH(Monat.Tag1)=9,August!Monat.NDUeVM,IF(MONTH(Monat.Tag1)=10,September!Monat.NDUeVM,IF(MONTH(Monat.Tag1)=11,October!Monat.NDUeVM,IF(MONTH(Monat.Tag1)=12,November!Monat.NDUeVM,"")))))))))))),"")</f>
        <v>0</v>
      </c>
      <c r="AM73" s="209"/>
      <c r="AN73" s="246">
        <f ca="1">AI73+AL73</f>
        <v>0</v>
      </c>
      <c r="AO73" s="208"/>
      <c r="AP73" s="208"/>
      <c r="AQ73" s="119"/>
    </row>
    <row r="74" spans="1:43" s="38" customFormat="1" ht="3.75" hidden="1" customHeight="1" x14ac:dyDescent="0.2">
      <c r="A74" s="220"/>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213"/>
      <c r="AG74" s="205"/>
      <c r="AH74" s="188"/>
      <c r="AI74" s="213"/>
      <c r="AJ74" s="214"/>
      <c r="AK74" s="209"/>
      <c r="AL74" s="209"/>
      <c r="AM74" s="209"/>
      <c r="AN74" s="208"/>
      <c r="AO74" s="209"/>
      <c r="AP74" s="209"/>
      <c r="AQ74" s="119"/>
    </row>
    <row r="75" spans="1:43" s="38" customFormat="1" ht="16.5" hidden="1" customHeight="1" outlineLevel="1" x14ac:dyDescent="0.2">
      <c r="A75" s="215" t="s">
        <v>252</v>
      </c>
      <c r="B75" s="216">
        <f t="shared" ref="B75:AF75" ca="1" si="23">IF(B73&gt;0,ROUND((B73-
IF(B13&lt;T.Nachtbis,MIN(T.Nachtbis-B13,B14-B13)+IF(B15&lt;T.Nachtbis,MIN(T.Nachtbis-B15,B16-B15)+IF(B17&lt;T.Nachtbis,MIN(T.Nachtbis-B17,B18-B17)+IF(B19&lt;T.Nachtbis,MIN(T.Nachtbis-B19,B20-B19)+IF(B21&lt;T.Nachtbis,MIN(T.Nachtbis-B21,B22-B21),0),0),0),0),0))*1440,0)/1440,0)</f>
        <v>0</v>
      </c>
      <c r="C75" s="216">
        <f t="shared" ca="1" si="23"/>
        <v>0</v>
      </c>
      <c r="D75" s="216">
        <f t="shared" ca="1" si="23"/>
        <v>0</v>
      </c>
      <c r="E75" s="216">
        <f t="shared" ca="1" si="23"/>
        <v>0</v>
      </c>
      <c r="F75" s="216">
        <f t="shared" ca="1" si="23"/>
        <v>0</v>
      </c>
      <c r="G75" s="216">
        <f t="shared" ca="1" si="23"/>
        <v>0</v>
      </c>
      <c r="H75" s="216">
        <f t="shared" ca="1" si="23"/>
        <v>0</v>
      </c>
      <c r="I75" s="216">
        <f t="shared" ca="1" si="23"/>
        <v>0</v>
      </c>
      <c r="J75" s="216">
        <f t="shared" ca="1" si="23"/>
        <v>0</v>
      </c>
      <c r="K75" s="216">
        <f t="shared" ca="1" si="23"/>
        <v>0</v>
      </c>
      <c r="L75" s="216">
        <f t="shared" ca="1" si="23"/>
        <v>0</v>
      </c>
      <c r="M75" s="216">
        <f t="shared" ca="1" si="23"/>
        <v>0</v>
      </c>
      <c r="N75" s="216">
        <f t="shared" ca="1" si="23"/>
        <v>0</v>
      </c>
      <c r="O75" s="216">
        <f t="shared" ca="1" si="23"/>
        <v>0</v>
      </c>
      <c r="P75" s="216">
        <f t="shared" ca="1" si="23"/>
        <v>0</v>
      </c>
      <c r="Q75" s="216">
        <f t="shared" ca="1" si="23"/>
        <v>0</v>
      </c>
      <c r="R75" s="216">
        <f t="shared" ca="1" si="23"/>
        <v>0</v>
      </c>
      <c r="S75" s="216">
        <f t="shared" ca="1" si="23"/>
        <v>0</v>
      </c>
      <c r="T75" s="216">
        <f t="shared" ca="1" si="23"/>
        <v>0</v>
      </c>
      <c r="U75" s="216">
        <f t="shared" ca="1" si="23"/>
        <v>0</v>
      </c>
      <c r="V75" s="216">
        <f t="shared" ca="1" si="23"/>
        <v>0</v>
      </c>
      <c r="W75" s="216">
        <f t="shared" ca="1" si="23"/>
        <v>0</v>
      </c>
      <c r="X75" s="216">
        <f t="shared" ca="1" si="23"/>
        <v>0</v>
      </c>
      <c r="Y75" s="216">
        <f t="shared" ca="1" si="23"/>
        <v>0</v>
      </c>
      <c r="Z75" s="216">
        <f t="shared" ca="1" si="23"/>
        <v>0</v>
      </c>
      <c r="AA75" s="216">
        <f t="shared" ca="1" si="23"/>
        <v>0</v>
      </c>
      <c r="AB75" s="216">
        <f t="shared" ca="1" si="23"/>
        <v>0</v>
      </c>
      <c r="AC75" s="216">
        <f t="shared" ca="1" si="23"/>
        <v>0</v>
      </c>
      <c r="AD75" s="216">
        <f t="shared" ca="1" si="23"/>
        <v>0</v>
      </c>
      <c r="AE75" s="216">
        <f t="shared" ca="1" si="23"/>
        <v>0</v>
      </c>
      <c r="AF75" s="216">
        <f t="shared" ca="1" si="23"/>
        <v>0</v>
      </c>
      <c r="AG75" s="217" t="str">
        <f t="shared" ref="AG75:AG77" si="24">A75</f>
        <v>Total NS hours today</v>
      </c>
      <c r="AH75" s="188"/>
      <c r="AI75" s="213"/>
      <c r="AJ75" s="214"/>
      <c r="AK75" s="209"/>
      <c r="AL75" s="209"/>
      <c r="AM75" s="209"/>
      <c r="AN75" s="208"/>
      <c r="AO75" s="209"/>
      <c r="AP75" s="209"/>
      <c r="AQ75" s="119"/>
    </row>
    <row r="76" spans="1:43" s="38" customFormat="1" ht="16.5" hidden="1" customHeight="1" outlineLevel="1" x14ac:dyDescent="0.2">
      <c r="A76" s="215" t="s">
        <v>253</v>
      </c>
      <c r="B76" s="225">
        <f t="shared" ref="B76:AF76" ca="1" si="25">B73-B75</f>
        <v>0</v>
      </c>
      <c r="C76" s="225">
        <f t="shared" ca="1" si="25"/>
        <v>0</v>
      </c>
      <c r="D76" s="225">
        <f t="shared" ca="1" si="25"/>
        <v>0</v>
      </c>
      <c r="E76" s="225">
        <f t="shared" ca="1" si="25"/>
        <v>0</v>
      </c>
      <c r="F76" s="225">
        <f t="shared" ca="1" si="25"/>
        <v>0</v>
      </c>
      <c r="G76" s="225">
        <f t="shared" ca="1" si="25"/>
        <v>0</v>
      </c>
      <c r="H76" s="225">
        <f t="shared" ca="1" si="25"/>
        <v>0</v>
      </c>
      <c r="I76" s="225">
        <f t="shared" ca="1" si="25"/>
        <v>0</v>
      </c>
      <c r="J76" s="225">
        <f t="shared" ca="1" si="25"/>
        <v>0</v>
      </c>
      <c r="K76" s="225">
        <f t="shared" ca="1" si="25"/>
        <v>0</v>
      </c>
      <c r="L76" s="225">
        <f t="shared" ca="1" si="25"/>
        <v>0</v>
      </c>
      <c r="M76" s="225">
        <f t="shared" ca="1" si="25"/>
        <v>0</v>
      </c>
      <c r="N76" s="225">
        <f t="shared" ca="1" si="25"/>
        <v>0</v>
      </c>
      <c r="O76" s="225">
        <f t="shared" ca="1" si="25"/>
        <v>0</v>
      </c>
      <c r="P76" s="225">
        <f t="shared" ca="1" si="25"/>
        <v>0</v>
      </c>
      <c r="Q76" s="225">
        <f t="shared" ca="1" si="25"/>
        <v>0</v>
      </c>
      <c r="R76" s="225">
        <f t="shared" ca="1" si="25"/>
        <v>0</v>
      </c>
      <c r="S76" s="225">
        <f t="shared" ca="1" si="25"/>
        <v>0</v>
      </c>
      <c r="T76" s="225">
        <f t="shared" ca="1" si="25"/>
        <v>0</v>
      </c>
      <c r="U76" s="225">
        <f t="shared" ca="1" si="25"/>
        <v>0</v>
      </c>
      <c r="V76" s="225">
        <f t="shared" ca="1" si="25"/>
        <v>0</v>
      </c>
      <c r="W76" s="225">
        <f t="shared" ca="1" si="25"/>
        <v>0</v>
      </c>
      <c r="X76" s="225">
        <f t="shared" ca="1" si="25"/>
        <v>0</v>
      </c>
      <c r="Y76" s="225">
        <f t="shared" ca="1" si="25"/>
        <v>0</v>
      </c>
      <c r="Z76" s="225">
        <f t="shared" ca="1" si="25"/>
        <v>0</v>
      </c>
      <c r="AA76" s="225">
        <f t="shared" ca="1" si="25"/>
        <v>0</v>
      </c>
      <c r="AB76" s="225">
        <f t="shared" ca="1" si="25"/>
        <v>0</v>
      </c>
      <c r="AC76" s="225">
        <f t="shared" ca="1" si="25"/>
        <v>0</v>
      </c>
      <c r="AD76" s="225">
        <f t="shared" ca="1" si="25"/>
        <v>0</v>
      </c>
      <c r="AE76" s="225">
        <f t="shared" ca="1" si="25"/>
        <v>0</v>
      </c>
      <c r="AF76" s="225">
        <f t="shared" ca="1" si="25"/>
        <v>0</v>
      </c>
      <c r="AG76" s="217" t="str">
        <f t="shared" si="24"/>
        <v>Total NS hours yesterday</v>
      </c>
      <c r="AH76" s="188"/>
      <c r="AI76" s="213"/>
      <c r="AJ76" s="214"/>
      <c r="AK76" s="209"/>
      <c r="AL76" s="209"/>
      <c r="AM76" s="230">
        <f ca="1">IF(EB.Anwendung&lt;&gt;"",IF(MONTH(Monat.Tag1)=12,0,IF(MONTH(Monat.Tag1)=1,February!Monat.NDgesternTag1,IF(MONTH(Monat.Tag1)=2,March!Monat.NDgesternTag1,IF(MONTH(Monat.Tag1)=3,April!Monat.NDgesternTag1,IF(MONTH(Monat.Tag1)=4,May!Monat.NDgesternTag1,IF(MONTH(Monat.Tag1)=5,June!Monat.NDgesternTag1,IF(MONTH(Monat.Tag1)=6,July!Monat.NDgesternTag1,IF(MONTH(Monat.Tag1)=7,August!Monat.NDgesternTag1,IF(MONTH(Monat.Tag1)=8,September!Monat.NDgesternTag1,IF(MONTH(Monat.Tag1)=9,October!Monat.NDgesternTag1,IF(MONTH(Monat.Tag1)=10,November!Monat.NDgesternTag1,IF(MONTH(Monat.Tag1)=11,December!Monat.NDgesternTag1,"")))))))))))),"")</f>
        <v>0</v>
      </c>
      <c r="AN76" s="208"/>
      <c r="AO76" s="209"/>
      <c r="AP76" s="209"/>
      <c r="AQ76" s="119"/>
    </row>
    <row r="77" spans="1:43" s="38" customFormat="1" ht="16.5" hidden="1" customHeight="1" outlineLevel="1" x14ac:dyDescent="0.2">
      <c r="A77" s="215" t="s">
        <v>254</v>
      </c>
      <c r="B77" s="216">
        <f t="shared" ref="B77:AF77" ca="1" si="26">B75+IF(B$10=EOMONTH(B$10,0),$AM76,C76)</f>
        <v>0</v>
      </c>
      <c r="C77" s="216">
        <f t="shared" ca="1" si="26"/>
        <v>0</v>
      </c>
      <c r="D77" s="216">
        <f t="shared" ca="1" si="26"/>
        <v>0</v>
      </c>
      <c r="E77" s="216">
        <f t="shared" ca="1" si="26"/>
        <v>0</v>
      </c>
      <c r="F77" s="216">
        <f t="shared" ca="1" si="26"/>
        <v>0</v>
      </c>
      <c r="G77" s="216">
        <f t="shared" ca="1" si="26"/>
        <v>0</v>
      </c>
      <c r="H77" s="216">
        <f t="shared" ca="1" si="26"/>
        <v>0</v>
      </c>
      <c r="I77" s="216">
        <f t="shared" ca="1" si="26"/>
        <v>0</v>
      </c>
      <c r="J77" s="216">
        <f t="shared" ca="1" si="26"/>
        <v>0</v>
      </c>
      <c r="K77" s="216">
        <f t="shared" ca="1" si="26"/>
        <v>0</v>
      </c>
      <c r="L77" s="216">
        <f t="shared" ca="1" si="26"/>
        <v>0</v>
      </c>
      <c r="M77" s="216">
        <f t="shared" ca="1" si="26"/>
        <v>0</v>
      </c>
      <c r="N77" s="216">
        <f t="shared" ca="1" si="26"/>
        <v>0</v>
      </c>
      <c r="O77" s="216">
        <f t="shared" ca="1" si="26"/>
        <v>0</v>
      </c>
      <c r="P77" s="216">
        <f t="shared" ca="1" si="26"/>
        <v>0</v>
      </c>
      <c r="Q77" s="216">
        <f t="shared" ca="1" si="26"/>
        <v>0</v>
      </c>
      <c r="R77" s="216">
        <f t="shared" ca="1" si="26"/>
        <v>0</v>
      </c>
      <c r="S77" s="216">
        <f t="shared" ca="1" si="26"/>
        <v>0</v>
      </c>
      <c r="T77" s="216">
        <f t="shared" ca="1" si="26"/>
        <v>0</v>
      </c>
      <c r="U77" s="216">
        <f t="shared" ca="1" si="26"/>
        <v>0</v>
      </c>
      <c r="V77" s="216">
        <f t="shared" ca="1" si="26"/>
        <v>0</v>
      </c>
      <c r="W77" s="216">
        <f t="shared" ca="1" si="26"/>
        <v>0</v>
      </c>
      <c r="X77" s="216">
        <f t="shared" ca="1" si="26"/>
        <v>0</v>
      </c>
      <c r="Y77" s="216">
        <f t="shared" ca="1" si="26"/>
        <v>0</v>
      </c>
      <c r="Z77" s="216">
        <f t="shared" ca="1" si="26"/>
        <v>0</v>
      </c>
      <c r="AA77" s="216">
        <f t="shared" ca="1" si="26"/>
        <v>0</v>
      </c>
      <c r="AB77" s="216">
        <f t="shared" ca="1" si="26"/>
        <v>0</v>
      </c>
      <c r="AC77" s="216">
        <f t="shared" ca="1" si="26"/>
        <v>0</v>
      </c>
      <c r="AD77" s="216">
        <f t="shared" ca="1" si="26"/>
        <v>0</v>
      </c>
      <c r="AE77" s="216">
        <f t="shared" ca="1" si="26"/>
        <v>0</v>
      </c>
      <c r="AF77" s="216">
        <f t="shared" ca="1" si="26"/>
        <v>0</v>
      </c>
      <c r="AG77" s="217" t="str">
        <f t="shared" si="24"/>
        <v>Total NS hours</v>
      </c>
      <c r="AH77" s="218"/>
      <c r="AI77" s="219">
        <f ca="1">SUM(B77:AF77)</f>
        <v>0</v>
      </c>
      <c r="AJ77" s="214"/>
      <c r="AK77" s="209"/>
      <c r="AL77" s="209"/>
      <c r="AM77" s="209"/>
      <c r="AN77" s="208"/>
      <c r="AO77" s="209"/>
      <c r="AP77" s="209"/>
      <c r="AQ77" s="119"/>
    </row>
    <row r="78" spans="1:43" s="38" customFormat="1" ht="3.75" hidden="1" customHeight="1" collapsed="1" x14ac:dyDescent="0.2">
      <c r="A78" s="220"/>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2"/>
      <c r="AG78" s="205"/>
      <c r="AH78" s="233"/>
      <c r="AI78" s="222"/>
      <c r="AJ78" s="214"/>
      <c r="AK78" s="209"/>
      <c r="AL78" s="209"/>
      <c r="AM78" s="209"/>
      <c r="AN78" s="208"/>
      <c r="AO78" s="209"/>
      <c r="AP78" s="209"/>
      <c r="AQ78" s="119"/>
    </row>
    <row r="79" spans="1:43" s="38" customFormat="1" ht="15" customHeight="1" outlineLevel="1" x14ac:dyDescent="0.2">
      <c r="A79" s="212" t="s">
        <v>200</v>
      </c>
      <c r="B79" s="280">
        <f t="shared" ref="B79:AF79" ca="1" si="27">IF(AND(T.50_Vetsuisse,B70&gt;24),ROUND(B73*T.50_VetsuisseZZSND*1440,0)/1440,
IF(AND(T.ServiceCenterIrchel,B69&gt;0,B77&gt;=ROUND(1/24*8*1440,0)/1440),ROUND(B77*T.ServiceCenterIrchelZZSND*1440,0)/1440,))</f>
        <v>0</v>
      </c>
      <c r="C79" s="280">
        <f t="shared" ca="1" si="27"/>
        <v>0</v>
      </c>
      <c r="D79" s="280">
        <f t="shared" ca="1" si="27"/>
        <v>0</v>
      </c>
      <c r="E79" s="280">
        <f t="shared" ca="1" si="27"/>
        <v>0</v>
      </c>
      <c r="F79" s="280">
        <f t="shared" ca="1" si="27"/>
        <v>0</v>
      </c>
      <c r="G79" s="280">
        <f t="shared" ca="1" si="27"/>
        <v>0</v>
      </c>
      <c r="H79" s="280">
        <f t="shared" ca="1" si="27"/>
        <v>0</v>
      </c>
      <c r="I79" s="280">
        <f t="shared" ca="1" si="27"/>
        <v>0</v>
      </c>
      <c r="J79" s="280">
        <f t="shared" ca="1" si="27"/>
        <v>0</v>
      </c>
      <c r="K79" s="280">
        <f t="shared" ca="1" si="27"/>
        <v>0</v>
      </c>
      <c r="L79" s="280">
        <f t="shared" ca="1" si="27"/>
        <v>0</v>
      </c>
      <c r="M79" s="280">
        <f t="shared" ca="1" si="27"/>
        <v>0</v>
      </c>
      <c r="N79" s="280">
        <f t="shared" ca="1" si="27"/>
        <v>0</v>
      </c>
      <c r="O79" s="280">
        <f t="shared" ca="1" si="27"/>
        <v>0</v>
      </c>
      <c r="P79" s="280">
        <f t="shared" ca="1" si="27"/>
        <v>0</v>
      </c>
      <c r="Q79" s="280">
        <f t="shared" ca="1" si="27"/>
        <v>0</v>
      </c>
      <c r="R79" s="280">
        <f t="shared" ca="1" si="27"/>
        <v>0</v>
      </c>
      <c r="S79" s="280">
        <f t="shared" ca="1" si="27"/>
        <v>0</v>
      </c>
      <c r="T79" s="280">
        <f t="shared" ca="1" si="27"/>
        <v>0</v>
      </c>
      <c r="U79" s="280">
        <f t="shared" ca="1" si="27"/>
        <v>0</v>
      </c>
      <c r="V79" s="280">
        <f t="shared" ca="1" si="27"/>
        <v>0</v>
      </c>
      <c r="W79" s="280">
        <f t="shared" ca="1" si="27"/>
        <v>0</v>
      </c>
      <c r="X79" s="280">
        <f t="shared" ca="1" si="27"/>
        <v>0</v>
      </c>
      <c r="Y79" s="280">
        <f t="shared" ca="1" si="27"/>
        <v>0</v>
      </c>
      <c r="Z79" s="280">
        <f t="shared" ca="1" si="27"/>
        <v>0</v>
      </c>
      <c r="AA79" s="280">
        <f t="shared" ca="1" si="27"/>
        <v>0</v>
      </c>
      <c r="AB79" s="280">
        <f t="shared" ca="1" si="27"/>
        <v>0</v>
      </c>
      <c r="AC79" s="280">
        <f t="shared" ca="1" si="27"/>
        <v>0</v>
      </c>
      <c r="AD79" s="280">
        <f t="shared" ca="1" si="27"/>
        <v>0</v>
      </c>
      <c r="AE79" s="280">
        <f t="shared" ca="1" si="27"/>
        <v>0</v>
      </c>
      <c r="AF79" s="280">
        <f t="shared" ca="1" si="27"/>
        <v>0</v>
      </c>
      <c r="AG79" s="205" t="str">
        <f t="shared" si="20"/>
        <v>Time supplement night shift</v>
      </c>
      <c r="AH79" s="274"/>
      <c r="AI79" s="238">
        <f t="shared" ref="AI79:AI80" ca="1" si="28">SUM(B79:AF79)</f>
        <v>0</v>
      </c>
      <c r="AJ79" s="261"/>
      <c r="AK79" s="224"/>
      <c r="AL79" s="245">
        <f ca="1">IF(EB.Anwendung&lt;&gt;"",IF(MONTH(Monat.Tag1)=1,EB.ZZNd,IF(MONTH(Monat.Tag1)=2,January!Monat.ZZNdUe,IF(MONTH(Monat.Tag1)=3,February!Monat.ZZNdUe,IF(MONTH(Monat.Tag1)=4,March!Monat.ZZNdUe,IF(MONTH(Monat.Tag1)=5,April!Monat.ZZNdUe,IF(MONTH(Monat.Tag1)=6,May!Monat.ZZNdUe,IF(MONTH(Monat.Tag1)=7,June!Monat.ZZNdUe,IF(MONTH(Monat.Tag1)=8,July!Monat.ZZNdUe,IF(MONTH(Monat.Tag1)=9,August!Monat.ZZNdUe,IF(MONTH(Monat.Tag1)=10,September!Monat.ZZNdUe,IF(MONTH(Monat.Tag1)=11,October!Monat.ZZNdUe,IF(MONTH(Monat.Tag1)=12,November!Monat.ZZNdUe,"")))))))))))),"")</f>
        <v>0</v>
      </c>
      <c r="AM79" s="209"/>
      <c r="AN79" s="246">
        <f ca="1">AI79+AL79-AI71</f>
        <v>0</v>
      </c>
      <c r="AO79" s="246">
        <f ca="1">OFFSET(Jahr.ZZSNDSaldo,-13+MONTH(Monat.Tag1),0,1,1)</f>
        <v>0</v>
      </c>
      <c r="AP79" s="246">
        <f ca="1">Jahr.ZZSNDSaldo</f>
        <v>0</v>
      </c>
      <c r="AQ79" s="119"/>
    </row>
    <row r="80" spans="1:43" s="38" customFormat="1" ht="15" customHeight="1" outlineLevel="1" x14ac:dyDescent="0.2">
      <c r="A80" s="212" t="s">
        <v>224</v>
      </c>
      <c r="B80" s="280" t="str">
        <f t="shared" ref="B80:AF80" si="29">IF(T.50_Vetsuisse,IF(OR(B$12=0,B$11=0,WEEKDAY(B$10,2)&gt;5),0,ROUND((MAX(0,T.Abendbis-MAX(B13,T.Abendab))-MAX(0,T.Abendbis-MAX(T.Abendab,B14))+(B13&gt;B14)*(1+T.Abendab-T.Abendbis)+MAX(0,T.Abendbis-MAX(B15,T.Abendab))-MAX(0,T.Abendbis-MAX(T.Abendab,B16))+(B15&gt;B16)*(1+T.Abendab-T.Abendbis)+MAX(0,T.Abendbis-MAX(B17,T.Abendab))-MAX(0,T.Abendbis-MAX(T.Abendab,B18))+(B17&gt;B18)*(1+T.Abendab-T.Abendbis)+MAX(0,T.Abendbis-MAX(B19,T.Abendab))-MAX(0,T.Abendbis-MAX(T.Abendab,B20))+(B19&gt;B20)*(1+T.Abendab-T.Abendbis)+MAX(0,T.Abendbis-MAX(B21,T.Abendab))-MAX(0,T.Abendbis-MAX(T.Abendab,B22))+(B21&gt;B22)*(1+T.Abendab-T.Abendbis))*1440,0)/1440),"")</f>
        <v/>
      </c>
      <c r="C80" s="280" t="str">
        <f t="shared" si="29"/>
        <v/>
      </c>
      <c r="D80" s="280" t="str">
        <f t="shared" si="29"/>
        <v/>
      </c>
      <c r="E80" s="280" t="str">
        <f t="shared" si="29"/>
        <v/>
      </c>
      <c r="F80" s="280" t="str">
        <f t="shared" si="29"/>
        <v/>
      </c>
      <c r="G80" s="280" t="str">
        <f t="shared" si="29"/>
        <v/>
      </c>
      <c r="H80" s="280" t="str">
        <f t="shared" si="29"/>
        <v/>
      </c>
      <c r="I80" s="280" t="str">
        <f t="shared" si="29"/>
        <v/>
      </c>
      <c r="J80" s="280" t="str">
        <f t="shared" si="29"/>
        <v/>
      </c>
      <c r="K80" s="280" t="str">
        <f t="shared" si="29"/>
        <v/>
      </c>
      <c r="L80" s="280" t="str">
        <f t="shared" si="29"/>
        <v/>
      </c>
      <c r="M80" s="280" t="str">
        <f t="shared" si="29"/>
        <v/>
      </c>
      <c r="N80" s="280" t="str">
        <f t="shared" si="29"/>
        <v/>
      </c>
      <c r="O80" s="280" t="str">
        <f t="shared" si="29"/>
        <v/>
      </c>
      <c r="P80" s="280" t="str">
        <f t="shared" si="29"/>
        <v/>
      </c>
      <c r="Q80" s="280" t="str">
        <f t="shared" si="29"/>
        <v/>
      </c>
      <c r="R80" s="280" t="str">
        <f t="shared" si="29"/>
        <v/>
      </c>
      <c r="S80" s="280" t="str">
        <f t="shared" si="29"/>
        <v/>
      </c>
      <c r="T80" s="280" t="str">
        <f t="shared" si="29"/>
        <v/>
      </c>
      <c r="U80" s="280" t="str">
        <f t="shared" si="29"/>
        <v/>
      </c>
      <c r="V80" s="280" t="str">
        <f t="shared" si="29"/>
        <v/>
      </c>
      <c r="W80" s="280" t="str">
        <f t="shared" si="29"/>
        <v/>
      </c>
      <c r="X80" s="280" t="str">
        <f t="shared" si="29"/>
        <v/>
      </c>
      <c r="Y80" s="280" t="str">
        <f t="shared" si="29"/>
        <v/>
      </c>
      <c r="Z80" s="280" t="str">
        <f t="shared" si="29"/>
        <v/>
      </c>
      <c r="AA80" s="280" t="str">
        <f t="shared" si="29"/>
        <v/>
      </c>
      <c r="AB80" s="280" t="str">
        <f t="shared" si="29"/>
        <v/>
      </c>
      <c r="AC80" s="280" t="str">
        <f t="shared" si="29"/>
        <v/>
      </c>
      <c r="AD80" s="280" t="str">
        <f t="shared" si="29"/>
        <v/>
      </c>
      <c r="AE80" s="280" t="str">
        <f t="shared" si="29"/>
        <v/>
      </c>
      <c r="AF80" s="280" t="str">
        <f t="shared" si="29"/>
        <v/>
      </c>
      <c r="AG80" s="205" t="str">
        <f t="shared" si="20"/>
        <v>Evening work</v>
      </c>
      <c r="AH80" s="274"/>
      <c r="AI80" s="238">
        <f t="shared" si="28"/>
        <v>0</v>
      </c>
      <c r="AJ80" s="261"/>
      <c r="AK80" s="224"/>
      <c r="AL80" s="245">
        <f ca="1">IF(EB.Anwendung&lt;&gt;"",IF(MONTH(Monat.Tag1)=1,0,IF(MONTH(Monat.Tag1)=2,January!Monat.AAUeVM,IF(MONTH(Monat.Tag1)=3,February!Monat.AAUeVM,IF(MONTH(Monat.Tag1)=4,March!Monat.AAUeVM,IF(MONTH(Monat.Tag1)=5,April!Monat.AAUeVM,IF(MONTH(Monat.Tag1)=6,May!Monat.AAUeVM,IF(MONTH(Monat.Tag1)=7,June!Monat.AAUeVM,IF(MONTH(Monat.Tag1)=8,July!Monat.AAUeVM,IF(MONTH(Monat.Tag1)=9,August!Monat.AAUeVM,IF(MONTH(Monat.Tag1)=10,September!Monat.AAUeVM,IF(MONTH(Monat.Tag1)=11,October!Monat.AAUeVM,IF(MONTH(Monat.Tag1)=12,November!Monat.AAUeVM,"")))))))))))),"")</f>
        <v>0</v>
      </c>
      <c r="AM80" s="209"/>
      <c r="AN80" s="246">
        <f ca="1">AI80+AL80</f>
        <v>0</v>
      </c>
      <c r="AO80" s="208"/>
      <c r="AP80" s="208"/>
      <c r="AQ80" s="119"/>
    </row>
    <row r="81" spans="1:43" s="38" customFormat="1" ht="15" customHeight="1" outlineLevel="1" x14ac:dyDescent="0.2">
      <c r="A81" s="212" t="s">
        <v>89</v>
      </c>
      <c r="B81" s="280">
        <f t="shared" ref="B81:AF81" ca="1" si="30">IF(EB.Wochenarbeitszeit=50/24,"",IF(B$12=0,0,IF(OR(WEEKDAY(B$10,2)&gt;5,B$11=0),IF(NOT(B$34=INDEX(T.Pikett.Bereich,1)),1,0),IF(WEEKDAY(B$10,2)&lt;6,IF(AND(OR(B$34=INDEX(T.Pikett.Bereich,2),B$34=INDEX(T.Pikett.Bereich,3)),B$11=1),8/24,0))+IF(WEEKDAY(B$10,2)&lt;6,IF(AND(OR(B$34=INDEX(T.Pikett.Bereich,2),B$34=INDEX(T.Pikett.Bereich,3)),B$11=6/8.4),10/24,0))
+IF(WEEKDAY(B$10,2)&lt;6,IF(AND(OR(B$34=INDEX(T.Pikett.Bereich,2),B$34=INDEX(T.Pikett.Bereich,3)),B$11=0.5),0.5,0))
+IF(AND(B$34=INDEX(T.Pikett.Bereich,4),B$11=6/8.4),0.75,0)+IF(AND(B$34=INDEX(T.Pikett.Bereich,4),B$11=1),16/24,0)
+IF(AND(B$34=INDEX(T.Pikett.Bereich,4),B$11=0.5),20/24,0))))</f>
        <v>0</v>
      </c>
      <c r="C81" s="280">
        <f t="shared" ca="1" si="30"/>
        <v>0</v>
      </c>
      <c r="D81" s="280">
        <f t="shared" ca="1" si="30"/>
        <v>0</v>
      </c>
      <c r="E81" s="280">
        <f t="shared" ca="1" si="30"/>
        <v>0</v>
      </c>
      <c r="F81" s="280">
        <f t="shared" ca="1" si="30"/>
        <v>0</v>
      </c>
      <c r="G81" s="280">
        <f t="shared" ca="1" si="30"/>
        <v>0</v>
      </c>
      <c r="H81" s="280">
        <f t="shared" ca="1" si="30"/>
        <v>0</v>
      </c>
      <c r="I81" s="280">
        <f t="shared" ca="1" si="30"/>
        <v>0</v>
      </c>
      <c r="J81" s="280">
        <f t="shared" ca="1" si="30"/>
        <v>0</v>
      </c>
      <c r="K81" s="280">
        <f t="shared" ca="1" si="30"/>
        <v>0</v>
      </c>
      <c r="L81" s="280">
        <f t="shared" ca="1" si="30"/>
        <v>0</v>
      </c>
      <c r="M81" s="280">
        <f t="shared" ca="1" si="30"/>
        <v>0</v>
      </c>
      <c r="N81" s="280">
        <f t="shared" ca="1" si="30"/>
        <v>0</v>
      </c>
      <c r="O81" s="280">
        <f t="shared" ca="1" si="30"/>
        <v>0</v>
      </c>
      <c r="P81" s="280">
        <f t="shared" ca="1" si="30"/>
        <v>0</v>
      </c>
      <c r="Q81" s="280">
        <f t="shared" ca="1" si="30"/>
        <v>0</v>
      </c>
      <c r="R81" s="280">
        <f t="shared" ca="1" si="30"/>
        <v>0</v>
      </c>
      <c r="S81" s="280">
        <f t="shared" ca="1" si="30"/>
        <v>0</v>
      </c>
      <c r="T81" s="280">
        <f t="shared" ca="1" si="30"/>
        <v>0</v>
      </c>
      <c r="U81" s="280">
        <f t="shared" ca="1" si="30"/>
        <v>0</v>
      </c>
      <c r="V81" s="280">
        <f t="shared" ca="1" si="30"/>
        <v>0</v>
      </c>
      <c r="W81" s="280">
        <f t="shared" ca="1" si="30"/>
        <v>0</v>
      </c>
      <c r="X81" s="280">
        <f t="shared" ca="1" si="30"/>
        <v>0</v>
      </c>
      <c r="Y81" s="280">
        <f t="shared" ca="1" si="30"/>
        <v>0</v>
      </c>
      <c r="Z81" s="280">
        <f t="shared" ca="1" si="30"/>
        <v>0</v>
      </c>
      <c r="AA81" s="280">
        <f t="shared" ca="1" si="30"/>
        <v>0</v>
      </c>
      <c r="AB81" s="280">
        <f t="shared" ca="1" si="30"/>
        <v>0</v>
      </c>
      <c r="AC81" s="280">
        <f t="shared" ca="1" si="30"/>
        <v>0</v>
      </c>
      <c r="AD81" s="280">
        <f t="shared" ca="1" si="30"/>
        <v>0</v>
      </c>
      <c r="AE81" s="280">
        <f t="shared" ca="1" si="30"/>
        <v>0</v>
      </c>
      <c r="AF81" s="280">
        <f t="shared" ca="1" si="30"/>
        <v>0</v>
      </c>
      <c r="AG81" s="205" t="str">
        <f t="shared" si="20"/>
        <v>On-call duty</v>
      </c>
      <c r="AH81" s="274"/>
      <c r="AI81" s="238">
        <f ca="1">SUM(B81:AF81)</f>
        <v>0</v>
      </c>
      <c r="AJ81" s="261"/>
      <c r="AK81" s="224"/>
      <c r="AL81" s="245">
        <f ca="1">IF(EB.Anwendung&lt;&gt;"",IF(MONTH(Monat.Tag1)=1,0,IF(MONTH(Monat.Tag1)=2,January!Monat.BDUeVM,IF(MONTH(Monat.Tag1)=3,February!Monat.BDUeVM,IF(MONTH(Monat.Tag1)=4,March!Monat.BDUeVM,IF(MONTH(Monat.Tag1)=5,April!Monat.BDUeVM,IF(MONTH(Monat.Tag1)=6,May!Monat.BDUeVM,IF(MONTH(Monat.Tag1)=7,June!Monat.BDUeVM,IF(MONTH(Monat.Tag1)=8,July!Monat.BDUeVM,IF(MONTH(Monat.Tag1)=9,August!Monat.BDUeVM,IF(MONTH(Monat.Tag1)=10,September!Monat.BDUeVM,IF(MONTH(Monat.Tag1)=11,October!Monat.BDUeVM,IF(MONTH(Monat.Tag1)=12,November!Monat.BDUeVM,"")))))))))))),"")</f>
        <v>0</v>
      </c>
      <c r="AM81" s="209"/>
      <c r="AN81" s="246">
        <f ca="1">AI81+AL81</f>
        <v>0</v>
      </c>
      <c r="AO81" s="208"/>
      <c r="AP81" s="208"/>
      <c r="AQ81" s="119"/>
    </row>
    <row r="82" spans="1:43" s="38" customFormat="1" ht="15" customHeight="1" outlineLevel="1" x14ac:dyDescent="0.2">
      <c r="A82" s="212" t="s">
        <v>90</v>
      </c>
      <c r="B82" s="280" t="str">
        <f t="shared" ref="B82:AF82" ca="1" si="31">IF(B$12=0,"",IF(OR(WEEKDAY(B$10,2)&gt;5,B$11=0),
IF(T.50_NoVetsuisse,B45,
IF(T.50_Vetsuisse,IF(B23-B73=0,"",B23-B73),
IF(T.ServiceCenterIrchel,B23,
B60))),))</f>
        <v/>
      </c>
      <c r="C82" s="280">
        <f t="shared" ca="1" si="31"/>
        <v>0</v>
      </c>
      <c r="D82" s="281">
        <f t="shared" ca="1" si="31"/>
        <v>0</v>
      </c>
      <c r="E82" s="280">
        <f t="shared" ca="1" si="31"/>
        <v>0</v>
      </c>
      <c r="F82" s="281">
        <f t="shared" ca="1" si="31"/>
        <v>0</v>
      </c>
      <c r="G82" s="281">
        <f t="shared" ca="1" si="31"/>
        <v>0</v>
      </c>
      <c r="H82" s="281" t="str">
        <f t="shared" ca="1" si="31"/>
        <v/>
      </c>
      <c r="I82" s="281" t="str">
        <f t="shared" ca="1" si="31"/>
        <v/>
      </c>
      <c r="J82" s="280">
        <f t="shared" ca="1" si="31"/>
        <v>0</v>
      </c>
      <c r="K82" s="281">
        <f t="shared" ca="1" si="31"/>
        <v>0</v>
      </c>
      <c r="L82" s="280">
        <f t="shared" ca="1" si="31"/>
        <v>0</v>
      </c>
      <c r="M82" s="281">
        <f t="shared" ca="1" si="31"/>
        <v>0</v>
      </c>
      <c r="N82" s="281">
        <f t="shared" ca="1" si="31"/>
        <v>0</v>
      </c>
      <c r="O82" s="281" t="str">
        <f t="shared" ca="1" si="31"/>
        <v/>
      </c>
      <c r="P82" s="281" t="str">
        <f t="shared" ca="1" si="31"/>
        <v/>
      </c>
      <c r="Q82" s="280">
        <f t="shared" ca="1" si="31"/>
        <v>0</v>
      </c>
      <c r="R82" s="281">
        <f t="shared" ca="1" si="31"/>
        <v>0</v>
      </c>
      <c r="S82" s="280">
        <f t="shared" ca="1" si="31"/>
        <v>0</v>
      </c>
      <c r="T82" s="280">
        <f t="shared" ca="1" si="31"/>
        <v>0</v>
      </c>
      <c r="U82" s="281">
        <f t="shared" ca="1" si="31"/>
        <v>0</v>
      </c>
      <c r="V82" s="281" t="str">
        <f t="shared" ca="1" si="31"/>
        <v/>
      </c>
      <c r="W82" s="281" t="str">
        <f t="shared" ca="1" si="31"/>
        <v/>
      </c>
      <c r="X82" s="280">
        <f t="shared" ca="1" si="31"/>
        <v>0</v>
      </c>
      <c r="Y82" s="281">
        <f t="shared" ca="1" si="31"/>
        <v>0</v>
      </c>
      <c r="Z82" s="282">
        <f t="shared" ca="1" si="31"/>
        <v>0</v>
      </c>
      <c r="AA82" s="281">
        <f t="shared" ca="1" si="31"/>
        <v>0</v>
      </c>
      <c r="AB82" s="281">
        <f t="shared" ca="1" si="31"/>
        <v>0</v>
      </c>
      <c r="AC82" s="281" t="str">
        <f t="shared" ca="1" si="31"/>
        <v/>
      </c>
      <c r="AD82" s="281" t="str">
        <f t="shared" ca="1" si="31"/>
        <v/>
      </c>
      <c r="AE82" s="280">
        <f t="shared" ca="1" si="31"/>
        <v>0</v>
      </c>
      <c r="AF82" s="281">
        <f t="shared" ca="1" si="31"/>
        <v>0</v>
      </c>
      <c r="AG82" s="205" t="str">
        <f t="shared" si="20"/>
        <v>Saturday/Sunday shift</v>
      </c>
      <c r="AH82" s="228"/>
      <c r="AI82" s="238">
        <f ca="1">SUM(B82:AF82)</f>
        <v>0</v>
      </c>
      <c r="AJ82" s="229">
        <f ca="1">IFERROR(SUMPRODUCT((B82:AF82&gt;0)*(B82:AF82&lt;&gt;"")),0)</f>
        <v>0</v>
      </c>
      <c r="AK82" s="224"/>
      <c r="AL82" s="245">
        <f ca="1">IF(EB.Anwendung&lt;&gt;"",IF(MONTH(Monat.Tag1)=1,0,IF(MONTH(Monat.Tag1)=2,January!Monat.SDUeVM,IF(MONTH(Monat.Tag1)=3,February!Monat.SDUeVM,IF(MONTH(Monat.Tag1)=4,March!Monat.SDUeVM,IF(MONTH(Monat.Tag1)=5,April!Monat.SDUeVM,IF(MONTH(Monat.Tag1)=6,May!Monat.SDUeVM,IF(MONTH(Monat.Tag1)=7,June!Monat.SDUeVM,IF(MONTH(Monat.Tag1)=8,July!Monat.SDUeVM,IF(MONTH(Monat.Tag1)=9,August!Monat.SDUeVM,IF(MONTH(Monat.Tag1)=10,September!Monat.SDUeVM,IF(MONTH(Monat.Tag1)=11,October!Monat.SDUeVM,IF(MONTH(Monat.Tag1)=12,November!Monat.SDUeVM,"")))))))))))),"")</f>
        <v>0</v>
      </c>
      <c r="AM82" s="209"/>
      <c r="AN82" s="246">
        <f ca="1">AI82+AL82</f>
        <v>0</v>
      </c>
      <c r="AO82" s="208"/>
      <c r="AP82" s="208"/>
      <c r="AQ82" s="119"/>
    </row>
    <row r="83" spans="1:43" s="38" customFormat="1" ht="11.25" customHeight="1" outlineLevel="1" x14ac:dyDescent="0.2">
      <c r="A83" s="220"/>
      <c r="B83" s="226"/>
      <c r="C83" s="226"/>
      <c r="D83" s="226"/>
      <c r="E83" s="226"/>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7"/>
      <c r="AG83" s="205"/>
      <c r="AH83" s="228"/>
      <c r="AI83" s="224"/>
      <c r="AJ83" s="278"/>
      <c r="AK83" s="262"/>
      <c r="AL83" s="262"/>
      <c r="AM83" s="209"/>
      <c r="AN83" s="279"/>
      <c r="AO83" s="283"/>
      <c r="AP83" s="283"/>
      <c r="AQ83" s="119"/>
    </row>
    <row r="84" spans="1:43" s="38" customFormat="1" ht="15" customHeight="1" x14ac:dyDescent="0.2">
      <c r="A84" s="212" t="s">
        <v>80</v>
      </c>
      <c r="B84" s="40"/>
      <c r="C84" s="40"/>
      <c r="D84" s="40"/>
      <c r="E84" s="40"/>
      <c r="F84" s="40"/>
      <c r="G84" s="40"/>
      <c r="H84" s="40"/>
      <c r="I84" s="40"/>
      <c r="J84" s="40"/>
      <c r="K84" s="40"/>
      <c r="L84" s="40"/>
      <c r="M84" s="40"/>
      <c r="N84" s="40"/>
      <c r="O84" s="40"/>
      <c r="P84" s="40"/>
      <c r="Q84" s="40"/>
      <c r="R84" s="40"/>
      <c r="S84" s="40"/>
      <c r="T84" s="40"/>
      <c r="U84" s="40"/>
      <c r="V84" s="40"/>
      <c r="W84" s="40"/>
      <c r="X84" s="40"/>
      <c r="Y84" s="40"/>
      <c r="Z84" s="47"/>
      <c r="AA84" s="40"/>
      <c r="AB84" s="40"/>
      <c r="AC84" s="40"/>
      <c r="AD84" s="40"/>
      <c r="AE84" s="40"/>
      <c r="AF84" s="40"/>
      <c r="AG84" s="205" t="str">
        <f>A84 &amp; IFERROR(IF(AND(MONTH(Monat.Tag1)=6,EB.Jahr&gt;2020),IF(SUM(Jahresabrechnung!AC15:AC20)&lt;EB.FerienBer,IF(EB.Sprache="EN"," (Balance PY "," (Saldo VJ ") &amp; " &gt; 0!)",""),""),"")</f>
        <v>Vacation</v>
      </c>
      <c r="AH84" s="218"/>
      <c r="AI84" s="238">
        <f t="shared" ref="AI84:AI95" si="32">SUM(B84:AF84)</f>
        <v>0</v>
      </c>
      <c r="AJ84" s="261"/>
      <c r="AK84" s="245">
        <f ca="1">OFFSET(EB.MFAStd.Knoten,MONTH(Monat.Tag1),0,1,1)</f>
        <v>0</v>
      </c>
      <c r="AL84" s="245">
        <f ca="1">IF(EB.Anwendung&lt;&gt;"",IF(MONTH(Monat.Tag1)=1,EB.FerienBer,IF(MONTH(Monat.Tag1)=2,January!Monat.FerienUeVM,IF(MONTH(Monat.Tag1)=3,February!Monat.FerienUeVM,IF(MONTH(Monat.Tag1)=4,March!Monat.FerienUeVM,IF(MONTH(Monat.Tag1)=5,April!Monat.FerienUeVM,IF(MONTH(Monat.Tag1)=6,May!Monat.FerienUeVM,IF(MONTH(Monat.Tag1)=7,June!Monat.FerienUeVM,IF(MONTH(Monat.Tag1)=8,July!Monat.FerienUeVM,IF(MONTH(Monat.Tag1)=9,August!Monat.FerienUeVM,IF(MONTH(Monat.Tag1)=10,September!Monat.FerienUeVM,IF(MONTH(Monat.Tag1)=11,October!Monat.FerienUeVM,IF(MONTH(Monat.Tag1)=12,November!Monat.FerienUeVM,"")))))))))))),"")</f>
        <v>0</v>
      </c>
      <c r="AM84" s="209"/>
      <c r="AN84" s="246">
        <f ca="1">ROUND(IF(AH85="+",(AK84+AL84-Monat.Ferien.Total+AI85),(AK84+AL84-Monat.Ferien.Total-AI85))*1440,0)/1440</f>
        <v>0</v>
      </c>
      <c r="AO84" s="246">
        <f ca="1">SUM(Jahresabrechnung!AC12:AC13)-SUM(OFFSET(Jahresabrechnung!AC15,0,0,MONTH(Monat.Tag1),1))</f>
        <v>0</v>
      </c>
      <c r="AP84" s="246">
        <f ca="1">J.FerienUE.Total</f>
        <v>0</v>
      </c>
      <c r="AQ84" s="119"/>
    </row>
    <row r="85" spans="1:43" s="38" customFormat="1" ht="15" customHeight="1" x14ac:dyDescent="0.2">
      <c r="A85" s="220"/>
      <c r="B85" s="437">
        <f t="shared" ref="B85:AF85" ca="1" si="33">IF(DAY(B$10)=1,Monat.Ferien.JS+Monat.Ferien.Total-B84,A85-B84)</f>
        <v>0</v>
      </c>
      <c r="C85" s="437">
        <f t="shared" ca="1" si="33"/>
        <v>0</v>
      </c>
      <c r="D85" s="437">
        <f t="shared" ca="1" si="33"/>
        <v>0</v>
      </c>
      <c r="E85" s="437">
        <f t="shared" ca="1" si="33"/>
        <v>0</v>
      </c>
      <c r="F85" s="437">
        <f t="shared" ca="1" si="33"/>
        <v>0</v>
      </c>
      <c r="G85" s="437">
        <f t="shared" ca="1" si="33"/>
        <v>0</v>
      </c>
      <c r="H85" s="437">
        <f t="shared" ca="1" si="33"/>
        <v>0</v>
      </c>
      <c r="I85" s="437">
        <f t="shared" ca="1" si="33"/>
        <v>0</v>
      </c>
      <c r="J85" s="437">
        <f t="shared" ca="1" si="33"/>
        <v>0</v>
      </c>
      <c r="K85" s="437">
        <f t="shared" ca="1" si="33"/>
        <v>0</v>
      </c>
      <c r="L85" s="437">
        <f t="shared" ca="1" si="33"/>
        <v>0</v>
      </c>
      <c r="M85" s="437">
        <f t="shared" ca="1" si="33"/>
        <v>0</v>
      </c>
      <c r="N85" s="437">
        <f t="shared" ca="1" si="33"/>
        <v>0</v>
      </c>
      <c r="O85" s="437">
        <f t="shared" ca="1" si="33"/>
        <v>0</v>
      </c>
      <c r="P85" s="437">
        <f t="shared" ca="1" si="33"/>
        <v>0</v>
      </c>
      <c r="Q85" s="437">
        <f t="shared" ca="1" si="33"/>
        <v>0</v>
      </c>
      <c r="R85" s="437">
        <f t="shared" ca="1" si="33"/>
        <v>0</v>
      </c>
      <c r="S85" s="437">
        <f t="shared" ca="1" si="33"/>
        <v>0</v>
      </c>
      <c r="T85" s="437">
        <f t="shared" ca="1" si="33"/>
        <v>0</v>
      </c>
      <c r="U85" s="437">
        <f t="shared" ca="1" si="33"/>
        <v>0</v>
      </c>
      <c r="V85" s="437">
        <f t="shared" ca="1" si="33"/>
        <v>0</v>
      </c>
      <c r="W85" s="437">
        <f t="shared" ca="1" si="33"/>
        <v>0</v>
      </c>
      <c r="X85" s="437">
        <f t="shared" ca="1" si="33"/>
        <v>0</v>
      </c>
      <c r="Y85" s="437">
        <f t="shared" ca="1" si="33"/>
        <v>0</v>
      </c>
      <c r="Z85" s="437">
        <f t="shared" ca="1" si="33"/>
        <v>0</v>
      </c>
      <c r="AA85" s="437">
        <f t="shared" ca="1" si="33"/>
        <v>0</v>
      </c>
      <c r="AB85" s="437">
        <f t="shared" ca="1" si="33"/>
        <v>0</v>
      </c>
      <c r="AC85" s="437">
        <f t="shared" ca="1" si="33"/>
        <v>0</v>
      </c>
      <c r="AD85" s="437">
        <f t="shared" ca="1" si="33"/>
        <v>0</v>
      </c>
      <c r="AE85" s="437">
        <f t="shared" ca="1" si="33"/>
        <v>0</v>
      </c>
      <c r="AF85" s="438">
        <f t="shared" ca="1" si="33"/>
        <v>0</v>
      </c>
      <c r="AG85" s="212" t="s">
        <v>92</v>
      </c>
      <c r="AH85" s="45" t="s">
        <v>2</v>
      </c>
      <c r="AI85" s="48"/>
      <c r="AJ85" s="270"/>
      <c r="AK85" s="209"/>
      <c r="AL85" s="209"/>
      <c r="AM85" s="209"/>
      <c r="AN85" s="208"/>
      <c r="AO85" s="284"/>
      <c r="AP85" s="284"/>
      <c r="AQ85" s="119"/>
    </row>
    <row r="86" spans="1:43" s="38" customFormat="1" ht="15" customHeight="1" x14ac:dyDescent="0.2">
      <c r="A86" s="212" t="s">
        <v>81</v>
      </c>
      <c r="B86" s="40"/>
      <c r="C86" s="40"/>
      <c r="D86" s="40"/>
      <c r="E86" s="27"/>
      <c r="F86" s="40"/>
      <c r="G86" s="40"/>
      <c r="H86" s="40"/>
      <c r="I86" s="40"/>
      <c r="J86" s="27"/>
      <c r="K86" s="40"/>
      <c r="L86" s="27"/>
      <c r="M86" s="40"/>
      <c r="N86" s="40"/>
      <c r="O86" s="40"/>
      <c r="P86" s="40"/>
      <c r="Q86" s="27"/>
      <c r="R86" s="40"/>
      <c r="S86" s="27"/>
      <c r="T86" s="27"/>
      <c r="U86" s="40"/>
      <c r="V86" s="40"/>
      <c r="W86" s="40"/>
      <c r="X86" s="27"/>
      <c r="Y86" s="40"/>
      <c r="Z86" s="39"/>
      <c r="AA86" s="40"/>
      <c r="AB86" s="40"/>
      <c r="AC86" s="40"/>
      <c r="AD86" s="40"/>
      <c r="AE86" s="27"/>
      <c r="AF86" s="40"/>
      <c r="AG86" s="205" t="str">
        <f t="shared" ref="AG86:AG112" si="34">A86</f>
        <v>Consultation</v>
      </c>
      <c r="AH86" s="218"/>
      <c r="AI86" s="238">
        <f t="shared" si="32"/>
        <v>0</v>
      </c>
      <c r="AJ86" s="261"/>
      <c r="AK86" s="262"/>
      <c r="AL86" s="245">
        <f ca="1">IF(EB.Anwendung&lt;&gt;"",IF(MONTH(Monat.Tag1)=1,0,IF(MONTH(Monat.Tag1)=2,January!Monat.ArztUeVM,IF(MONTH(Monat.Tag1)=3,February!Monat.ArztUeVM,IF(MONTH(Monat.Tag1)=4,March!Monat.ArztUeVM,IF(MONTH(Monat.Tag1)=5,April!Monat.ArztUeVM,IF(MONTH(Monat.Tag1)=6,May!Monat.ArztUeVM,IF(MONTH(Monat.Tag1)=7,June!Monat.ArztUeVM,IF(MONTH(Monat.Tag1)=8,July!Monat.ArztUeVM,IF(MONTH(Monat.Tag1)=9,August!Monat.ArztUeVM,IF(MONTH(Monat.Tag1)=10,September!Monat.ArztUeVM,IF(MONTH(Monat.Tag1)=11,October!Monat.ArztUeVM,IF(MONTH(Monat.Tag1)=12,November!Monat.ArztUeVM,"")))))))))))),"")</f>
        <v>0</v>
      </c>
      <c r="AM86" s="209"/>
      <c r="AN86" s="246">
        <f t="shared" ref="AN86:AN94" ca="1" si="35">AI86+AL86</f>
        <v>0</v>
      </c>
      <c r="AO86" s="208"/>
      <c r="AP86" s="208"/>
      <c r="AQ86" s="119"/>
    </row>
    <row r="87" spans="1:43" s="38" customFormat="1" ht="15" customHeight="1" x14ac:dyDescent="0.2">
      <c r="A87" s="212" t="s">
        <v>82</v>
      </c>
      <c r="B87" s="40"/>
      <c r="C87" s="40"/>
      <c r="D87" s="40"/>
      <c r="E87" s="27"/>
      <c r="F87" s="40"/>
      <c r="G87" s="40"/>
      <c r="H87" s="40"/>
      <c r="I87" s="40"/>
      <c r="J87" s="27"/>
      <c r="K87" s="40"/>
      <c r="L87" s="27"/>
      <c r="M87" s="40"/>
      <c r="N87" s="40"/>
      <c r="O87" s="40"/>
      <c r="P87" s="40"/>
      <c r="Q87" s="27"/>
      <c r="R87" s="40"/>
      <c r="S87" s="27"/>
      <c r="T87" s="27"/>
      <c r="U87" s="40"/>
      <c r="V87" s="40"/>
      <c r="W87" s="40"/>
      <c r="X87" s="27"/>
      <c r="Y87" s="40"/>
      <c r="Z87" s="39"/>
      <c r="AA87" s="40"/>
      <c r="AB87" s="40"/>
      <c r="AC87" s="40"/>
      <c r="AD87" s="40"/>
      <c r="AE87" s="27"/>
      <c r="AF87" s="40"/>
      <c r="AG87" s="205" t="str">
        <f t="shared" si="34"/>
        <v>Illness</v>
      </c>
      <c r="AH87" s="218"/>
      <c r="AI87" s="238">
        <f t="shared" si="32"/>
        <v>0</v>
      </c>
      <c r="AJ87" s="261"/>
      <c r="AK87" s="262"/>
      <c r="AL87" s="245">
        <f ca="1">IF(EB.Anwendung&lt;&gt;"",IF(MONTH(Monat.Tag1)=1,0,IF(MONTH(Monat.Tag1)=2,January!Monat.KrankUeVM,IF(MONTH(Monat.Tag1)=3,February!Monat.KrankUeVM,IF(MONTH(Monat.Tag1)=4,March!Monat.KrankUeVM,IF(MONTH(Monat.Tag1)=5,April!Monat.KrankUeVM,IF(MONTH(Monat.Tag1)=6,May!Monat.KrankUeVM,IF(MONTH(Monat.Tag1)=7,June!Monat.KrankUeVM,IF(MONTH(Monat.Tag1)=8,July!Monat.KrankUeVM,IF(MONTH(Monat.Tag1)=9,August!Monat.KrankUeVM,IF(MONTH(Monat.Tag1)=10,September!Monat.KrankUeVM,IF(MONTH(Monat.Tag1)=11,October!Monat.KrankUeVM,IF(MONTH(Monat.Tag1)=12,November!Monat.KrankUeVM,"")))))))))))),"")</f>
        <v>0</v>
      </c>
      <c r="AM87" s="209"/>
      <c r="AN87" s="246">
        <f t="shared" ca="1" si="35"/>
        <v>0</v>
      </c>
      <c r="AO87" s="208"/>
      <c r="AP87" s="208"/>
      <c r="AQ87" s="119"/>
    </row>
    <row r="88" spans="1:43" s="38" customFormat="1" ht="15" customHeight="1" x14ac:dyDescent="0.2">
      <c r="A88" s="212" t="s">
        <v>83</v>
      </c>
      <c r="B88" s="40"/>
      <c r="C88" s="40"/>
      <c r="D88" s="40"/>
      <c r="E88" s="27"/>
      <c r="F88" s="40"/>
      <c r="G88" s="40"/>
      <c r="H88" s="40"/>
      <c r="I88" s="40"/>
      <c r="J88" s="27"/>
      <c r="K88" s="40"/>
      <c r="L88" s="27"/>
      <c r="M88" s="40"/>
      <c r="N88" s="40"/>
      <c r="O88" s="40"/>
      <c r="P88" s="40"/>
      <c r="Q88" s="27"/>
      <c r="R88" s="40"/>
      <c r="S88" s="27"/>
      <c r="T88" s="27"/>
      <c r="U88" s="40"/>
      <c r="V88" s="40"/>
      <c r="W88" s="40"/>
      <c r="X88" s="27"/>
      <c r="Y88" s="40"/>
      <c r="Z88" s="39"/>
      <c r="AA88" s="40"/>
      <c r="AB88" s="40"/>
      <c r="AC88" s="40"/>
      <c r="AD88" s="40"/>
      <c r="AE88" s="27"/>
      <c r="AF88" s="40"/>
      <c r="AG88" s="205" t="str">
        <f t="shared" si="34"/>
        <v>Work-related accident</v>
      </c>
      <c r="AH88" s="218"/>
      <c r="AI88" s="238">
        <f t="shared" si="32"/>
        <v>0</v>
      </c>
      <c r="AJ88" s="261"/>
      <c r="AK88" s="262"/>
      <c r="AL88" s="245">
        <f ca="1">IF(EB.Anwendung&lt;&gt;"",IF(MONTH(Monat.Tag1)=1,0,IF(MONTH(Monat.Tag1)=2,January!Monat.BUUeVM,IF(MONTH(Monat.Tag1)=3,February!Monat.BUUeVM,IF(MONTH(Monat.Tag1)=4,March!Monat.BUUeVM,IF(MONTH(Monat.Tag1)=5,April!Monat.BUUeVM,IF(MONTH(Monat.Tag1)=6,May!Monat.BUUeVM,IF(MONTH(Monat.Tag1)=7,June!Monat.BUUeVM,IF(MONTH(Monat.Tag1)=8,July!Monat.BUUeVM,IF(MONTH(Monat.Tag1)=9,August!Monat.BUUeVM,IF(MONTH(Monat.Tag1)=10,September!Monat.BUUeVM,IF(MONTH(Monat.Tag1)=11,October!Monat.BUUeVM,IF(MONTH(Monat.Tag1)=12,November!Monat.BUUeVM,"")))))))))))),"")</f>
        <v>0</v>
      </c>
      <c r="AM88" s="209"/>
      <c r="AN88" s="246">
        <f t="shared" ca="1" si="35"/>
        <v>0</v>
      </c>
      <c r="AO88" s="208"/>
      <c r="AP88" s="208"/>
      <c r="AQ88" s="119"/>
    </row>
    <row r="89" spans="1:43" s="38" customFormat="1" ht="15" customHeight="1" x14ac:dyDescent="0.2">
      <c r="A89" s="212" t="s">
        <v>240</v>
      </c>
      <c r="B89" s="40"/>
      <c r="C89" s="40"/>
      <c r="D89" s="40"/>
      <c r="E89" s="27"/>
      <c r="F89" s="40"/>
      <c r="G89" s="40"/>
      <c r="H89" s="40"/>
      <c r="I89" s="40"/>
      <c r="J89" s="27"/>
      <c r="K89" s="40"/>
      <c r="L89" s="27"/>
      <c r="M89" s="40"/>
      <c r="N89" s="40"/>
      <c r="O89" s="40"/>
      <c r="P89" s="40"/>
      <c r="Q89" s="27"/>
      <c r="R89" s="40"/>
      <c r="S89" s="27"/>
      <c r="T89" s="27"/>
      <c r="U89" s="40"/>
      <c r="V89" s="40"/>
      <c r="W89" s="40"/>
      <c r="X89" s="27"/>
      <c r="Y89" s="40"/>
      <c r="Z89" s="39"/>
      <c r="AA89" s="40"/>
      <c r="AB89" s="40"/>
      <c r="AC89" s="40"/>
      <c r="AD89" s="40"/>
      <c r="AE89" s="27"/>
      <c r="AF89" s="40"/>
      <c r="AG89" s="205" t="str">
        <f t="shared" si="34"/>
        <v>Non-work-related accident</v>
      </c>
      <c r="AH89" s="218"/>
      <c r="AI89" s="238">
        <f t="shared" si="32"/>
        <v>0</v>
      </c>
      <c r="AJ89" s="261"/>
      <c r="AK89" s="262"/>
      <c r="AL89" s="245">
        <f ca="1">IF(EB.Anwendung&lt;&gt;"",IF(MONTH(Monat.Tag1)=1,0,IF(MONTH(Monat.Tag1)=2,January!Monat.NBUUeVM,IF(MONTH(Monat.Tag1)=3,February!Monat.NBUUeVM,IF(MONTH(Monat.Tag1)=4,March!Monat.NBUUeVM,IF(MONTH(Monat.Tag1)=5,April!Monat.NBUUeVM,IF(MONTH(Monat.Tag1)=6,May!Monat.NBUUeVM,IF(MONTH(Monat.Tag1)=7,June!Monat.NBUUeVM,IF(MONTH(Monat.Tag1)=8,July!Monat.NBUUeVM,IF(MONTH(Monat.Tag1)=9,August!Monat.NBUUeVM,IF(MONTH(Monat.Tag1)=10,September!Monat.NBUUeVM,IF(MONTH(Monat.Tag1)=11,October!Monat.NBUUeVM,IF(MONTH(Monat.Tag1)=12,November!Monat.NBUUeVM,"")))))))))))),"")</f>
        <v>0</v>
      </c>
      <c r="AM89" s="209"/>
      <c r="AN89" s="246">
        <f t="shared" ca="1" si="35"/>
        <v>0</v>
      </c>
      <c r="AO89" s="208"/>
      <c r="AP89" s="208"/>
      <c r="AQ89" s="119"/>
    </row>
    <row r="90" spans="1:43" s="38" customFormat="1" ht="15" customHeight="1" x14ac:dyDescent="0.2">
      <c r="A90" s="212" t="s">
        <v>84</v>
      </c>
      <c r="B90" s="40"/>
      <c r="C90" s="40"/>
      <c r="D90" s="40"/>
      <c r="E90" s="27"/>
      <c r="F90" s="40"/>
      <c r="G90" s="40"/>
      <c r="H90" s="40"/>
      <c r="I90" s="40"/>
      <c r="J90" s="27"/>
      <c r="K90" s="40"/>
      <c r="L90" s="27"/>
      <c r="M90" s="40"/>
      <c r="N90" s="40"/>
      <c r="O90" s="40"/>
      <c r="P90" s="40"/>
      <c r="Q90" s="27"/>
      <c r="R90" s="40"/>
      <c r="S90" s="27"/>
      <c r="T90" s="27"/>
      <c r="U90" s="40"/>
      <c r="V90" s="40"/>
      <c r="W90" s="40"/>
      <c r="X90" s="27"/>
      <c r="Y90" s="40"/>
      <c r="Z90" s="39"/>
      <c r="AA90" s="40"/>
      <c r="AB90" s="40"/>
      <c r="AC90" s="40"/>
      <c r="AD90" s="40"/>
      <c r="AE90" s="27"/>
      <c r="AF90" s="40"/>
      <c r="AG90" s="205" t="str">
        <f t="shared" si="34"/>
        <v>Military/civilian service</v>
      </c>
      <c r="AH90" s="218"/>
      <c r="AI90" s="238">
        <f t="shared" si="32"/>
        <v>0</v>
      </c>
      <c r="AJ90" s="261"/>
      <c r="AK90" s="262"/>
      <c r="AL90" s="245">
        <f ca="1">IF(EB.Anwendung&lt;&gt;"",IF(MONTH(Monat.Tag1)=1,0,IF(MONTH(Monat.Tag1)=2,January!Monat.MZSUeVM,IF(MONTH(Monat.Tag1)=3,February!Monat.MZSUeVM,IF(MONTH(Monat.Tag1)=4,March!Monat.MZSUeVM,IF(MONTH(Monat.Tag1)=5,April!Monat.MZSUeVM,IF(MONTH(Monat.Tag1)=6,May!Monat.MZSUeVM,IF(MONTH(Monat.Tag1)=7,June!Monat.MZSUeVM,IF(MONTH(Monat.Tag1)=8,July!Monat.MZSUeVM,IF(MONTH(Monat.Tag1)=9,August!Monat.MZSUeVM,IF(MONTH(Monat.Tag1)=10,September!Monat.MZSUeVM,IF(MONTH(Monat.Tag1)=11,October!Monat.MZSUeVM,IF(MONTH(Monat.Tag1)=12,November!Monat.MZSUeVM,"")))))))))))),"")</f>
        <v>0</v>
      </c>
      <c r="AM90" s="209"/>
      <c r="AN90" s="246">
        <f t="shared" ca="1" si="35"/>
        <v>0</v>
      </c>
      <c r="AO90" s="208"/>
      <c r="AP90" s="208"/>
      <c r="AQ90" s="119"/>
    </row>
    <row r="91" spans="1:43" s="38" customFormat="1" ht="15" customHeight="1" x14ac:dyDescent="0.2">
      <c r="A91" s="212" t="s">
        <v>85</v>
      </c>
      <c r="B91" s="40"/>
      <c r="C91" s="40"/>
      <c r="D91" s="40"/>
      <c r="E91" s="27"/>
      <c r="F91" s="40"/>
      <c r="G91" s="40"/>
      <c r="H91" s="40"/>
      <c r="I91" s="40"/>
      <c r="J91" s="27"/>
      <c r="K91" s="40"/>
      <c r="L91" s="27"/>
      <c r="M91" s="40"/>
      <c r="N91" s="40"/>
      <c r="O91" s="40"/>
      <c r="P91" s="40"/>
      <c r="Q91" s="27"/>
      <c r="R91" s="40"/>
      <c r="S91" s="27"/>
      <c r="T91" s="27"/>
      <c r="U91" s="40"/>
      <c r="V91" s="40"/>
      <c r="W91" s="40"/>
      <c r="X91" s="27"/>
      <c r="Y91" s="40"/>
      <c r="Z91" s="39"/>
      <c r="AA91" s="40"/>
      <c r="AB91" s="40"/>
      <c r="AC91" s="40"/>
      <c r="AD91" s="40"/>
      <c r="AE91" s="27"/>
      <c r="AF91" s="40"/>
      <c r="AG91" s="205" t="str">
        <f t="shared" si="34"/>
        <v>Continuing education</v>
      </c>
      <c r="AH91" s="218"/>
      <c r="AI91" s="238">
        <f t="shared" si="32"/>
        <v>0</v>
      </c>
      <c r="AJ91" s="261"/>
      <c r="AK91" s="262"/>
      <c r="AL91" s="245">
        <f ca="1">IF(EB.Anwendung&lt;&gt;"",IF(MONTH(Monat.Tag1)=1,0,IF(MONTH(Monat.Tag1)=2,January!Monat.WBUeVM,IF(MONTH(Monat.Tag1)=3,February!Monat.WBUeVM,IF(MONTH(Monat.Tag1)=4,March!Monat.WBUeVM,IF(MONTH(Monat.Tag1)=5,April!Monat.WBUeVM,IF(MONTH(Monat.Tag1)=6,May!Monat.WBUeVM,IF(MONTH(Monat.Tag1)=7,June!Monat.WBUeVM,IF(MONTH(Monat.Tag1)=8,July!Monat.WBUeVM,IF(MONTH(Monat.Tag1)=9,August!Monat.WBUeVM,IF(MONTH(Monat.Tag1)=10,September!Monat.WBUeVM,IF(MONTH(Monat.Tag1)=11,October!Monat.WBUeVM,IF(MONTH(Monat.Tag1)=12,November!Monat.WBUeVM,"")))))))))))),"")</f>
        <v>0</v>
      </c>
      <c r="AM91" s="209"/>
      <c r="AN91" s="246">
        <f t="shared" ca="1" si="35"/>
        <v>0</v>
      </c>
      <c r="AO91" s="208"/>
      <c r="AP91" s="208"/>
      <c r="AQ91" s="119"/>
    </row>
    <row r="92" spans="1:43" s="38" customFormat="1" ht="15" customHeight="1" x14ac:dyDescent="0.2">
      <c r="A92" s="212" t="s">
        <v>86</v>
      </c>
      <c r="B92" s="40"/>
      <c r="C92" s="40"/>
      <c r="D92" s="40"/>
      <c r="E92" s="27"/>
      <c r="F92" s="40"/>
      <c r="G92" s="40"/>
      <c r="H92" s="40"/>
      <c r="I92" s="40"/>
      <c r="J92" s="27"/>
      <c r="K92" s="40"/>
      <c r="L92" s="27"/>
      <c r="M92" s="40"/>
      <c r="N92" s="40"/>
      <c r="O92" s="40"/>
      <c r="P92" s="40"/>
      <c r="Q92" s="27"/>
      <c r="R92" s="40"/>
      <c r="S92" s="27"/>
      <c r="T92" s="27"/>
      <c r="U92" s="40"/>
      <c r="V92" s="40"/>
      <c r="W92" s="40"/>
      <c r="X92" s="27"/>
      <c r="Y92" s="40"/>
      <c r="Z92" s="39"/>
      <c r="AA92" s="40"/>
      <c r="AB92" s="40"/>
      <c r="AC92" s="40"/>
      <c r="AD92" s="40"/>
      <c r="AE92" s="27"/>
      <c r="AF92" s="40"/>
      <c r="AG92" s="205" t="str">
        <f t="shared" si="34"/>
        <v>Paid leave</v>
      </c>
      <c r="AH92" s="218"/>
      <c r="AI92" s="238">
        <f t="shared" si="32"/>
        <v>0</v>
      </c>
      <c r="AJ92" s="261"/>
      <c r="AK92" s="262"/>
      <c r="AL92" s="245">
        <f ca="1">IF(EB.Anwendung&lt;&gt;"",IF(MONTH(Monat.Tag1)=1,0,IF(MONTH(Monat.Tag1)=2,January!Monat.BesUrlaubUeVM,IF(MONTH(Monat.Tag1)=3,February!Monat.BesUrlaubUeVM,IF(MONTH(Monat.Tag1)=4,March!Monat.BesUrlaubUeVM,IF(MONTH(Monat.Tag1)=5,April!Monat.BesUrlaubUeVM,IF(MONTH(Monat.Tag1)=6,May!Monat.BesUrlaubUeVM,IF(MONTH(Monat.Tag1)=7,June!Monat.BesUrlaubUeVM,IF(MONTH(Monat.Tag1)=8,July!Monat.BesUrlaubUeVM,IF(MONTH(Monat.Tag1)=9,August!Monat.BesUrlaubUeVM,IF(MONTH(Monat.Tag1)=10,September!Monat.BesUrlaubUeVM,IF(MONTH(Monat.Tag1)=11,October!Monat.BesUrlaubUeVM,IF(MONTH(Monat.Tag1)=12,November!Monat.BesUrlaubUeVM,"")))))))))))),"")</f>
        <v>0</v>
      </c>
      <c r="AM92" s="209"/>
      <c r="AN92" s="246">
        <f t="shared" ca="1" si="35"/>
        <v>0</v>
      </c>
      <c r="AO92" s="208"/>
      <c r="AP92" s="208"/>
      <c r="AQ92" s="119"/>
    </row>
    <row r="93" spans="1:43" s="38" customFormat="1" ht="15" customHeight="1" x14ac:dyDescent="0.2">
      <c r="A93" s="212" t="s">
        <v>87</v>
      </c>
      <c r="B93" s="40"/>
      <c r="C93" s="40"/>
      <c r="D93" s="40"/>
      <c r="E93" s="27"/>
      <c r="F93" s="40"/>
      <c r="G93" s="40"/>
      <c r="H93" s="40"/>
      <c r="I93" s="40"/>
      <c r="J93" s="27"/>
      <c r="K93" s="40"/>
      <c r="L93" s="27"/>
      <c r="M93" s="40"/>
      <c r="N93" s="40"/>
      <c r="O93" s="40"/>
      <c r="P93" s="40"/>
      <c r="Q93" s="27"/>
      <c r="R93" s="40"/>
      <c r="S93" s="27"/>
      <c r="T93" s="27"/>
      <c r="U93" s="40"/>
      <c r="V93" s="40"/>
      <c r="W93" s="40"/>
      <c r="X93" s="27"/>
      <c r="Y93" s="40"/>
      <c r="Z93" s="39"/>
      <c r="AA93" s="40"/>
      <c r="AB93" s="40"/>
      <c r="AC93" s="40"/>
      <c r="AD93" s="40"/>
      <c r="AE93" s="27"/>
      <c r="AF93" s="40"/>
      <c r="AG93" s="205" t="str">
        <f t="shared" si="34"/>
        <v>Unpaid leave</v>
      </c>
      <c r="AH93" s="218"/>
      <c r="AI93" s="238">
        <f t="shared" si="32"/>
        <v>0</v>
      </c>
      <c r="AJ93" s="261"/>
      <c r="AK93" s="262"/>
      <c r="AL93" s="245">
        <f ca="1">IF(EB.Anwendung&lt;&gt;"",IF(MONTH(Monat.Tag1)=1,0,IF(MONTH(Monat.Tag1)=2,January!Monat.UnbesUrlaubUeVM,IF(MONTH(Monat.Tag1)=3,February!Monat.UnbesUrlaubUeVM,IF(MONTH(Monat.Tag1)=4,March!Monat.UnbesUrlaubUeVM,IF(MONTH(Monat.Tag1)=5,April!Monat.UnbesUrlaubUeVM,IF(MONTH(Monat.Tag1)=6,May!Monat.UnbesUrlaubUeVM,IF(MONTH(Monat.Tag1)=7,June!Monat.UnbesUrlaubUeVM,IF(MONTH(Monat.Tag1)=8,July!Monat.UnbesUrlaubUeVM,IF(MONTH(Monat.Tag1)=9,August!Monat.UnbesUrlaubUeVM,IF(MONTH(Monat.Tag1)=10,September!Monat.UnbesUrlaubUeVM,IF(MONTH(Monat.Tag1)=11,October!Monat.UnbesUrlaubUeVM,IF(MONTH(Monat.Tag1)=12,November!Monat.UnbesUrlaubUeVM,"")))))))))))),"")</f>
        <v>0</v>
      </c>
      <c r="AM93" s="209"/>
      <c r="AN93" s="246">
        <f t="shared" ca="1" si="35"/>
        <v>0</v>
      </c>
      <c r="AO93" s="208"/>
      <c r="AP93" s="208"/>
      <c r="AQ93" s="119"/>
    </row>
    <row r="94" spans="1:43" s="38" customFormat="1" ht="15" hidden="1" customHeight="1" outlineLevel="1" x14ac:dyDescent="0.2">
      <c r="A94" s="212" t="s">
        <v>120</v>
      </c>
      <c r="B94" s="40"/>
      <c r="C94" s="40"/>
      <c r="D94" s="40"/>
      <c r="E94" s="27"/>
      <c r="F94" s="40"/>
      <c r="G94" s="40"/>
      <c r="H94" s="40"/>
      <c r="I94" s="40"/>
      <c r="J94" s="27"/>
      <c r="K94" s="40"/>
      <c r="L94" s="27"/>
      <c r="M94" s="40"/>
      <c r="N94" s="40"/>
      <c r="O94" s="40"/>
      <c r="P94" s="40"/>
      <c r="Q94" s="27"/>
      <c r="R94" s="40"/>
      <c r="S94" s="27"/>
      <c r="T94" s="27"/>
      <c r="U94" s="40"/>
      <c r="V94" s="40"/>
      <c r="W94" s="40"/>
      <c r="X94" s="27"/>
      <c r="Y94" s="40"/>
      <c r="Z94" s="39"/>
      <c r="AA94" s="40"/>
      <c r="AB94" s="40"/>
      <c r="AC94" s="40"/>
      <c r="AD94" s="40"/>
      <c r="AE94" s="27"/>
      <c r="AF94" s="40"/>
      <c r="AG94" s="205" t="str">
        <f t="shared" si="34"/>
        <v>Secondary employment</v>
      </c>
      <c r="AH94" s="218"/>
      <c r="AI94" s="238">
        <f t="shared" si="32"/>
        <v>0</v>
      </c>
      <c r="AJ94" s="261"/>
      <c r="AK94" s="262"/>
      <c r="AL94" s="245">
        <f ca="1">IF(EB.Anwendung&lt;&gt;"",IF(MONTH(Monat.Tag1)=1,0,IF(MONTH(Monat.Tag1)=2,January!Monat.NBUeVM,IF(MONTH(Monat.Tag1)=3,February!Monat.NBUeVM,IF(MONTH(Monat.Tag1)=4,March!Monat.NBUeVM,IF(MONTH(Monat.Tag1)=5,April!Monat.NBUeVM,IF(MONTH(Monat.Tag1)=6,May!Monat.NBUeVM,IF(MONTH(Monat.Tag1)=7,June!Monat.NBUeVM,IF(MONTH(Monat.Tag1)=8,July!Monat.NBUeVM,IF(MONTH(Monat.Tag1)=9,August!Monat.NBUeVM,IF(MONTH(Monat.Tag1)=10,September!Monat.NBUeVM,IF(MONTH(Monat.Tag1)=11,October!Monat.NBUeVM,IF(MONTH(Monat.Tag1)=12,November!Monat.NBUeVM,"")))))))))))),"")</f>
        <v>0</v>
      </c>
      <c r="AM94" s="209"/>
      <c r="AN94" s="246">
        <f t="shared" ca="1" si="35"/>
        <v>0</v>
      </c>
      <c r="AO94" s="208"/>
      <c r="AP94" s="208"/>
      <c r="AQ94" s="119"/>
    </row>
    <row r="95" spans="1:43" s="38" customFormat="1" ht="15" customHeight="1" collapsed="1" x14ac:dyDescent="0.2">
      <c r="A95" s="212" t="s">
        <v>56</v>
      </c>
      <c r="B95" s="40"/>
      <c r="C95" s="40"/>
      <c r="D95" s="40"/>
      <c r="E95" s="27"/>
      <c r="F95" s="40"/>
      <c r="G95" s="40"/>
      <c r="H95" s="40"/>
      <c r="I95" s="40"/>
      <c r="J95" s="27"/>
      <c r="K95" s="40"/>
      <c r="L95" s="27"/>
      <c r="M95" s="40"/>
      <c r="N95" s="40"/>
      <c r="O95" s="40"/>
      <c r="P95" s="40"/>
      <c r="Q95" s="27"/>
      <c r="R95" s="40"/>
      <c r="S95" s="27"/>
      <c r="T95" s="27"/>
      <c r="U95" s="40"/>
      <c r="V95" s="40"/>
      <c r="W95" s="40"/>
      <c r="X95" s="27"/>
      <c r="Y95" s="40"/>
      <c r="Z95" s="39"/>
      <c r="AA95" s="40"/>
      <c r="AB95" s="40"/>
      <c r="AC95" s="40"/>
      <c r="AD95" s="40"/>
      <c r="AE95" s="27"/>
      <c r="AF95" s="40"/>
      <c r="AG95" s="205" t="str">
        <f t="shared" si="34"/>
        <v>Seniority allowance</v>
      </c>
      <c r="AH95" s="218"/>
      <c r="AI95" s="238">
        <f t="shared" si="32"/>
        <v>0</v>
      </c>
      <c r="AJ95" s="261"/>
      <c r="AK95" s="262"/>
      <c r="AL95" s="245">
        <f ca="1">IF(EB.Anwendung&lt;&gt;"",IF(MONTH(Monat.Tag1)=1,EB.DAG,IF(MONTH(Monat.Tag1)=2,January!Monat.DAGUeVM,IF(MONTH(Monat.Tag1)=3,February!Monat.DAGUeVM,IF(MONTH(Monat.Tag1)=4,March!Monat.DAGUeVM,IF(MONTH(Monat.Tag1)=5,April!Monat.DAGUeVM,IF(MONTH(Monat.Tag1)=6,May!Monat.DAGUeVM,IF(MONTH(Monat.Tag1)=7,June!Monat.DAGUeVM,IF(MONTH(Monat.Tag1)=8,July!Monat.DAGUeVM,IF(MONTH(Monat.Tag1)=9,August!Monat.DAGUeVM,IF(MONTH(Monat.Tag1)=10,September!Monat.DAGUeVM,IF(MONTH(Monat.Tag1)=11,October!Monat.DAGUeVM,IF(MONTH(Monat.Tag1)=12,November!Monat.DAGUeVM,"")))))))))))),"")</f>
        <v>0</v>
      </c>
      <c r="AM95" s="209"/>
      <c r="AN95" s="246">
        <f ca="1">AL95-AI95</f>
        <v>0</v>
      </c>
      <c r="AO95" s="208"/>
      <c r="AP95" s="208"/>
      <c r="AQ95" s="119"/>
    </row>
    <row r="96" spans="1:43" s="38" customFormat="1" ht="11.25" customHeight="1" x14ac:dyDescent="0.2">
      <c r="A96" s="220"/>
      <c r="B96" s="223"/>
      <c r="C96" s="223"/>
      <c r="D96" s="223"/>
      <c r="E96" s="223"/>
      <c r="F96" s="223"/>
      <c r="G96" s="223"/>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23"/>
      <c r="AF96" s="224"/>
      <c r="AG96" s="205"/>
      <c r="AH96" s="228"/>
      <c r="AI96" s="224"/>
      <c r="AJ96" s="278"/>
      <c r="AK96" s="262"/>
      <c r="AL96" s="262"/>
      <c r="AM96" s="209"/>
      <c r="AN96" s="279"/>
      <c r="AO96" s="213"/>
      <c r="AP96" s="213"/>
      <c r="AQ96" s="119"/>
    </row>
    <row r="97" spans="1:43" s="38" customFormat="1" ht="15" customHeight="1" x14ac:dyDescent="0.2">
      <c r="A97" s="215" t="str">
        <f t="shared" ref="A97:A111" ca="1" si="36">IF(ROW(A97)-ROW(INDEX(Monat.Projekte.Zeilen,1))+1&gt;EB.AnzProjekte,"",OFFSET(EB.Projekte.Knoten,ROW(A97)-ROW(INDEX(Monat.Projekte.Zeilen,1))+1,0,1,1))</f>
        <v/>
      </c>
      <c r="B97" s="40"/>
      <c r="C97" s="40"/>
      <c r="D97" s="40"/>
      <c r="E97" s="27"/>
      <c r="F97" s="40"/>
      <c r="G97" s="40"/>
      <c r="H97" s="40"/>
      <c r="I97" s="40"/>
      <c r="J97" s="27"/>
      <c r="K97" s="40"/>
      <c r="L97" s="27"/>
      <c r="M97" s="40"/>
      <c r="N97" s="40"/>
      <c r="O97" s="40"/>
      <c r="P97" s="40"/>
      <c r="Q97" s="27"/>
      <c r="R97" s="40"/>
      <c r="S97" s="27"/>
      <c r="T97" s="27"/>
      <c r="U97" s="40"/>
      <c r="V97" s="40"/>
      <c r="W97" s="40"/>
      <c r="X97" s="27"/>
      <c r="Y97" s="40"/>
      <c r="Z97" s="39"/>
      <c r="AA97" s="40"/>
      <c r="AB97" s="40"/>
      <c r="AC97" s="40"/>
      <c r="AD97" s="40"/>
      <c r="AE97" s="27"/>
      <c r="AF97" s="40"/>
      <c r="AG97" s="205" t="str">
        <f t="shared" ca="1" si="34"/>
        <v/>
      </c>
      <c r="AH97" s="233"/>
      <c r="AI97" s="285">
        <f>SUM(B97:AF97)</f>
        <v>0</v>
      </c>
      <c r="AJ97" s="261"/>
      <c r="AK97" s="224"/>
      <c r="AL97" s="245">
        <f ca="1">IF(EB.Anwendung&lt;&gt;"",IF(MONTH(Monat.Tag1)=1,0,IF(MONTH(Monat.Tag1)=2,January!Monat.P1UeVM,IF(MONTH(Monat.Tag1)=3,February!Monat.P1UeVM,IF(MONTH(Monat.Tag1)=4,March!Monat.P1UeVM,IF(MONTH(Monat.Tag1)=5,April!Monat.P1UeVM,IF(MONTH(Monat.Tag1)=6,May!Monat.P1UeVM,IF(MONTH(Monat.Tag1)=7,June!Monat.P1UeVM,IF(MONTH(Monat.Tag1)=8,July!Monat.P1UeVM,IF(MONTH(Monat.Tag1)=9,August!Monat.P1UeVM,IF(MONTH(Monat.Tag1)=10,September!Monat.P1UeVM,IF(MONTH(Monat.Tag1)=11,October!Monat.P1UeVM,IF(MONTH(Monat.Tag1)=12,November!Monat.P1UeVM,"")))))))))))),"")</f>
        <v>0</v>
      </c>
      <c r="AM97" s="209"/>
      <c r="AN97" s="246">
        <f t="shared" ref="AN97:AN112" ca="1" si="37">AI97+AL97</f>
        <v>0</v>
      </c>
      <c r="AO97" s="208"/>
      <c r="AP97" s="208"/>
      <c r="AQ97" s="119"/>
    </row>
    <row r="98" spans="1:43" s="38" customFormat="1" ht="15" customHeight="1" x14ac:dyDescent="0.2">
      <c r="A98" s="215" t="str">
        <f t="shared" ca="1" si="36"/>
        <v/>
      </c>
      <c r="B98" s="40"/>
      <c r="C98" s="40"/>
      <c r="D98" s="40"/>
      <c r="E98" s="27"/>
      <c r="F98" s="40"/>
      <c r="G98" s="40"/>
      <c r="H98" s="40"/>
      <c r="I98" s="40"/>
      <c r="J98" s="27"/>
      <c r="K98" s="40"/>
      <c r="L98" s="27"/>
      <c r="M98" s="40"/>
      <c r="N98" s="40"/>
      <c r="O98" s="40"/>
      <c r="P98" s="40"/>
      <c r="Q98" s="27"/>
      <c r="R98" s="40"/>
      <c r="S98" s="27"/>
      <c r="T98" s="27"/>
      <c r="U98" s="40"/>
      <c r="V98" s="40"/>
      <c r="W98" s="40"/>
      <c r="X98" s="27"/>
      <c r="Y98" s="40"/>
      <c r="Z98" s="39"/>
      <c r="AA98" s="40"/>
      <c r="AB98" s="40"/>
      <c r="AC98" s="40"/>
      <c r="AD98" s="40"/>
      <c r="AE98" s="27"/>
      <c r="AF98" s="40"/>
      <c r="AG98" s="205" t="str">
        <f t="shared" ca="1" si="34"/>
        <v/>
      </c>
      <c r="AH98" s="218"/>
      <c r="AI98" s="238">
        <f>SUM(B98:AF98)</f>
        <v>0</v>
      </c>
      <c r="AJ98" s="261"/>
      <c r="AK98" s="224"/>
      <c r="AL98" s="245">
        <f ca="1">IF(EB.Anwendung&lt;&gt;"",IF(MONTH(Monat.Tag1)=1,0,IF(MONTH(Monat.Tag1)=2,January!Monat.P2UeVM,IF(MONTH(Monat.Tag1)=3,February!Monat.P2UeVM,IF(MONTH(Monat.Tag1)=4,March!Monat.P2UeVM,IF(MONTH(Monat.Tag1)=5,April!Monat.P2UeVM,IF(MONTH(Monat.Tag1)=6,May!Monat.P2UeVM,IF(MONTH(Monat.Tag1)=7,June!Monat.P2UeVM,IF(MONTH(Monat.Tag1)=8,July!Monat.P2UeVM,IF(MONTH(Monat.Tag1)=9,August!Monat.P2UeVM,IF(MONTH(Monat.Tag1)=10,September!Monat.P2UeVM,IF(MONTH(Monat.Tag1)=11,October!Monat.P2UeVM,IF(MONTH(Monat.Tag1)=12,November!Monat.P2UeVM,"")))))))))))),"")</f>
        <v>0</v>
      </c>
      <c r="AM98" s="209"/>
      <c r="AN98" s="246">
        <f t="shared" ca="1" si="37"/>
        <v>0</v>
      </c>
      <c r="AO98" s="208"/>
      <c r="AP98" s="208"/>
      <c r="AQ98" s="119"/>
    </row>
    <row r="99" spans="1:43" s="38" customFormat="1" ht="15" customHeight="1" x14ac:dyDescent="0.2">
      <c r="A99" s="215" t="str">
        <f t="shared" ca="1" si="36"/>
        <v/>
      </c>
      <c r="B99" s="40"/>
      <c r="C99" s="40"/>
      <c r="D99" s="40"/>
      <c r="E99" s="27"/>
      <c r="F99" s="40"/>
      <c r="G99" s="40"/>
      <c r="H99" s="40"/>
      <c r="I99" s="40"/>
      <c r="J99" s="27"/>
      <c r="K99" s="40"/>
      <c r="L99" s="27"/>
      <c r="M99" s="40"/>
      <c r="N99" s="40"/>
      <c r="O99" s="40"/>
      <c r="P99" s="40"/>
      <c r="Q99" s="27"/>
      <c r="R99" s="40"/>
      <c r="S99" s="27"/>
      <c r="T99" s="27"/>
      <c r="U99" s="40"/>
      <c r="V99" s="40"/>
      <c r="W99" s="40"/>
      <c r="X99" s="27"/>
      <c r="Y99" s="40"/>
      <c r="Z99" s="39"/>
      <c r="AA99" s="40"/>
      <c r="AB99" s="40"/>
      <c r="AC99" s="40"/>
      <c r="AD99" s="40"/>
      <c r="AE99" s="27"/>
      <c r="AF99" s="40"/>
      <c r="AG99" s="205" t="str">
        <f t="shared" ca="1" si="34"/>
        <v/>
      </c>
      <c r="AH99" s="286"/>
      <c r="AI99" s="238">
        <f>SUM(B99:AF99)</f>
        <v>0</v>
      </c>
      <c r="AJ99" s="261"/>
      <c r="AK99" s="224"/>
      <c r="AL99" s="245">
        <f ca="1">IF(EB.Anwendung&lt;&gt;"",IF(MONTH(Monat.Tag1)=1,0,IF(MONTH(Monat.Tag1)=2,January!Monat.P3UeVM,IF(MONTH(Monat.Tag1)=3,February!Monat.P3UeVM,IF(MONTH(Monat.Tag1)=4,March!Monat.P3UeVM,IF(MONTH(Monat.Tag1)=5,April!Monat.P3UeVM,IF(MONTH(Monat.Tag1)=6,May!Monat.P3UeVM,IF(MONTH(Monat.Tag1)=7,June!Monat.P3UeVM,IF(MONTH(Monat.Tag1)=8,July!Monat.P3UeVM,IF(MONTH(Monat.Tag1)=9,August!Monat.P3UeVM,IF(MONTH(Monat.Tag1)=10,September!Monat.P3UeVM,IF(MONTH(Monat.Tag1)=11,October!Monat.P3UeVM,IF(MONTH(Monat.Tag1)=12,November!Monat.P3UeVM,"")))))))))))),"")</f>
        <v>0</v>
      </c>
      <c r="AM99" s="209"/>
      <c r="AN99" s="246">
        <f t="shared" ca="1" si="37"/>
        <v>0</v>
      </c>
      <c r="AO99" s="208"/>
      <c r="AP99" s="208"/>
      <c r="AQ99" s="119"/>
    </row>
    <row r="100" spans="1:43" s="38" customFormat="1" ht="15" customHeight="1" x14ac:dyDescent="0.2">
      <c r="A100" s="215" t="str">
        <f t="shared" ca="1" si="36"/>
        <v/>
      </c>
      <c r="B100" s="40"/>
      <c r="C100" s="40"/>
      <c r="D100" s="40"/>
      <c r="E100" s="27"/>
      <c r="F100" s="40"/>
      <c r="G100" s="40"/>
      <c r="H100" s="40"/>
      <c r="I100" s="40"/>
      <c r="J100" s="27"/>
      <c r="K100" s="40"/>
      <c r="L100" s="27"/>
      <c r="M100" s="40"/>
      <c r="N100" s="40"/>
      <c r="O100" s="40"/>
      <c r="P100" s="40"/>
      <c r="Q100" s="27"/>
      <c r="R100" s="40"/>
      <c r="S100" s="27"/>
      <c r="T100" s="27"/>
      <c r="U100" s="40"/>
      <c r="V100" s="40"/>
      <c r="W100" s="40"/>
      <c r="X100" s="27"/>
      <c r="Y100" s="40"/>
      <c r="Z100" s="39"/>
      <c r="AA100" s="40"/>
      <c r="AB100" s="40"/>
      <c r="AC100" s="40"/>
      <c r="AD100" s="40"/>
      <c r="AE100" s="27"/>
      <c r="AF100" s="40"/>
      <c r="AG100" s="205" t="str">
        <f t="shared" ca="1" si="34"/>
        <v/>
      </c>
      <c r="AH100" s="228"/>
      <c r="AI100" s="238">
        <f t="shared" ref="AI100:AI112" si="38">SUM(B100:AF100)</f>
        <v>0</v>
      </c>
      <c r="AJ100" s="261"/>
      <c r="AK100" s="224"/>
      <c r="AL100" s="245">
        <f ca="1">IF(EB.Anwendung&lt;&gt;"",IF(MONTH(Monat.Tag1)=1,0,IF(MONTH(Monat.Tag1)=2,January!Monat.P4UeVM,IF(MONTH(Monat.Tag1)=3,February!Monat.P4UeVM,IF(MONTH(Monat.Tag1)=4,March!Monat.P4UeVM,IF(MONTH(Monat.Tag1)=5,April!Monat.P4UeVM,IF(MONTH(Monat.Tag1)=6,May!Monat.P4UeVM,IF(MONTH(Monat.Tag1)=7,June!Monat.P4UeVM,IF(MONTH(Monat.Tag1)=8,July!Monat.P4UeVM,IF(MONTH(Monat.Tag1)=9,August!Monat.P4UeVM,IF(MONTH(Monat.Tag1)=10,September!Monat.P4UeVM,IF(MONTH(Monat.Tag1)=11,October!Monat.P4UeVM,IF(MONTH(Monat.Tag1)=12,November!Monat.P4UeVM,"")))))))))))),"")</f>
        <v>0</v>
      </c>
      <c r="AM100" s="209"/>
      <c r="AN100" s="246">
        <f t="shared" ca="1" si="37"/>
        <v>0</v>
      </c>
      <c r="AO100" s="208"/>
      <c r="AP100" s="208"/>
      <c r="AQ100" s="119"/>
    </row>
    <row r="101" spans="1:43" s="38" customFormat="1" ht="15" customHeight="1" x14ac:dyDescent="0.2">
      <c r="A101" s="215" t="str">
        <f t="shared" ca="1" si="36"/>
        <v/>
      </c>
      <c r="B101" s="40"/>
      <c r="C101" s="40"/>
      <c r="D101" s="40"/>
      <c r="E101" s="27"/>
      <c r="F101" s="40"/>
      <c r="G101" s="40"/>
      <c r="H101" s="40"/>
      <c r="I101" s="40"/>
      <c r="J101" s="27"/>
      <c r="K101" s="40"/>
      <c r="L101" s="27"/>
      <c r="M101" s="40"/>
      <c r="N101" s="40"/>
      <c r="O101" s="40"/>
      <c r="P101" s="40"/>
      <c r="Q101" s="27"/>
      <c r="R101" s="40"/>
      <c r="S101" s="27"/>
      <c r="T101" s="27"/>
      <c r="U101" s="40"/>
      <c r="V101" s="40"/>
      <c r="W101" s="40"/>
      <c r="X101" s="27"/>
      <c r="Y101" s="40"/>
      <c r="Z101" s="39"/>
      <c r="AA101" s="40"/>
      <c r="AB101" s="40"/>
      <c r="AC101" s="40"/>
      <c r="AD101" s="40"/>
      <c r="AE101" s="27"/>
      <c r="AF101" s="40"/>
      <c r="AG101" s="205" t="str">
        <f t="shared" ca="1" si="34"/>
        <v/>
      </c>
      <c r="AH101" s="218"/>
      <c r="AI101" s="238">
        <f t="shared" si="38"/>
        <v>0</v>
      </c>
      <c r="AJ101" s="261"/>
      <c r="AK101" s="224"/>
      <c r="AL101" s="245">
        <f ca="1">IF(EB.Anwendung&lt;&gt;"",IF(MONTH(Monat.Tag1)=1,0,IF(MONTH(Monat.Tag1)=2,January!Monat.P5UeVM,IF(MONTH(Monat.Tag1)=3,February!Monat.P5UeVM,IF(MONTH(Monat.Tag1)=4,March!Monat.P5UeVM,IF(MONTH(Monat.Tag1)=5,April!Monat.P5UeVM,IF(MONTH(Monat.Tag1)=6,May!Monat.P5UeVM,IF(MONTH(Monat.Tag1)=7,June!Monat.P5UeVM,IF(MONTH(Monat.Tag1)=8,July!Monat.P5UeVM,IF(MONTH(Monat.Tag1)=9,August!Monat.P5UeVM,IF(MONTH(Monat.Tag1)=10,September!Monat.P5UeVM,IF(MONTH(Monat.Tag1)=11,October!Monat.P5UeVM,IF(MONTH(Monat.Tag1)=12,November!Monat.P5UeVM,"")))))))))))),"")</f>
        <v>0</v>
      </c>
      <c r="AM101" s="209"/>
      <c r="AN101" s="246">
        <f t="shared" ca="1" si="37"/>
        <v>0</v>
      </c>
      <c r="AO101" s="208"/>
      <c r="AP101" s="208"/>
      <c r="AQ101" s="119"/>
    </row>
    <row r="102" spans="1:43" s="38" customFormat="1" ht="15" hidden="1" customHeight="1" outlineLevel="1" x14ac:dyDescent="0.2">
      <c r="A102" s="215" t="str">
        <f t="shared" ca="1" si="36"/>
        <v/>
      </c>
      <c r="B102" s="40"/>
      <c r="C102" s="40"/>
      <c r="D102" s="40"/>
      <c r="E102" s="27"/>
      <c r="F102" s="40"/>
      <c r="G102" s="40"/>
      <c r="H102" s="40"/>
      <c r="I102" s="40"/>
      <c r="J102" s="27"/>
      <c r="K102" s="40"/>
      <c r="L102" s="27"/>
      <c r="M102" s="40"/>
      <c r="N102" s="40"/>
      <c r="O102" s="40"/>
      <c r="P102" s="40"/>
      <c r="Q102" s="27"/>
      <c r="R102" s="40"/>
      <c r="S102" s="27"/>
      <c r="T102" s="27"/>
      <c r="U102" s="40"/>
      <c r="V102" s="40"/>
      <c r="W102" s="40"/>
      <c r="X102" s="27"/>
      <c r="Y102" s="40"/>
      <c r="Z102" s="39"/>
      <c r="AA102" s="40"/>
      <c r="AB102" s="40"/>
      <c r="AC102" s="40"/>
      <c r="AD102" s="40"/>
      <c r="AE102" s="27"/>
      <c r="AF102" s="40"/>
      <c r="AG102" s="205" t="str">
        <f t="shared" ca="1" si="34"/>
        <v/>
      </c>
      <c r="AH102" s="286"/>
      <c r="AI102" s="238">
        <f t="shared" si="38"/>
        <v>0</v>
      </c>
      <c r="AJ102" s="261"/>
      <c r="AK102" s="224"/>
      <c r="AL102" s="245">
        <f ca="1">IF(EB.Anwendung&lt;&gt;"",IF(MONTH(Monat.Tag1)=1,0,IF(MONTH(Monat.Tag1)=2,January!Monat.P6UeVM,IF(MONTH(Monat.Tag1)=3,February!Monat.P6UeVM,IF(MONTH(Monat.Tag1)=4,March!Monat.P6UeVM,IF(MONTH(Monat.Tag1)=5,April!Monat.P6UeVM,IF(MONTH(Monat.Tag1)=6,May!Monat.P6UeVM,IF(MONTH(Monat.Tag1)=7,June!Monat.P6UeVM,IF(MONTH(Monat.Tag1)=8,July!Monat.P6UeVM,IF(MONTH(Monat.Tag1)=9,August!Monat.P6UeVM,IF(MONTH(Monat.Tag1)=10,September!Monat.P6UeVM,IF(MONTH(Monat.Tag1)=11,October!Monat.P6UeVM,IF(MONTH(Monat.Tag1)=12,November!Monat.P6UeVM,"")))))))))))),"")</f>
        <v>0</v>
      </c>
      <c r="AM102" s="209"/>
      <c r="AN102" s="246">
        <f t="shared" ca="1" si="37"/>
        <v>0</v>
      </c>
      <c r="AO102" s="208"/>
      <c r="AP102" s="208"/>
      <c r="AQ102" s="119"/>
    </row>
    <row r="103" spans="1:43" s="38" customFormat="1" ht="15" hidden="1" customHeight="1" outlineLevel="1" x14ac:dyDescent="0.2">
      <c r="A103" s="215" t="str">
        <f t="shared" ca="1" si="36"/>
        <v/>
      </c>
      <c r="B103" s="40"/>
      <c r="C103" s="40"/>
      <c r="D103" s="40"/>
      <c r="E103" s="27"/>
      <c r="F103" s="40"/>
      <c r="G103" s="40"/>
      <c r="H103" s="40"/>
      <c r="I103" s="40"/>
      <c r="J103" s="27"/>
      <c r="K103" s="40"/>
      <c r="L103" s="27"/>
      <c r="M103" s="40"/>
      <c r="N103" s="40"/>
      <c r="O103" s="40"/>
      <c r="P103" s="40"/>
      <c r="Q103" s="27"/>
      <c r="R103" s="40"/>
      <c r="S103" s="27"/>
      <c r="T103" s="27"/>
      <c r="U103" s="40"/>
      <c r="V103" s="40"/>
      <c r="W103" s="40"/>
      <c r="X103" s="27"/>
      <c r="Y103" s="40"/>
      <c r="Z103" s="39"/>
      <c r="AA103" s="40"/>
      <c r="AB103" s="40"/>
      <c r="AC103" s="40"/>
      <c r="AD103" s="40"/>
      <c r="AE103" s="27"/>
      <c r="AF103" s="40"/>
      <c r="AG103" s="205" t="str">
        <f ca="1">A103</f>
        <v/>
      </c>
      <c r="AH103" s="228"/>
      <c r="AI103" s="238">
        <f>SUM(B103:AF103)</f>
        <v>0</v>
      </c>
      <c r="AJ103" s="261"/>
      <c r="AK103" s="224"/>
      <c r="AL103" s="245">
        <f ca="1">IF(EB.Anwendung&lt;&gt;"",IF(MONTH(Monat.Tag1)=1,0,IF(MONTH(Monat.Tag1)=2,January!Monat.P7UeVM,IF(MONTH(Monat.Tag1)=3,February!Monat.P7UeVM,IF(MONTH(Monat.Tag1)=4,March!Monat.P7UeVM,IF(MONTH(Monat.Tag1)=5,April!Monat.P7UeVM,IF(MONTH(Monat.Tag1)=6,May!Monat.P7UeVM,IF(MONTH(Monat.Tag1)=7,June!Monat.P7UeVM,IF(MONTH(Monat.Tag1)=8,July!Monat.P7UeVM,IF(MONTH(Monat.Tag1)=9,August!Monat.P7UeVM,IF(MONTH(Monat.Tag1)=10,September!Monat.P7UeVM,IF(MONTH(Monat.Tag1)=11,October!Monat.P7UeVM,IF(MONTH(Monat.Tag1)=12,November!Monat.P7UeVM,"")))))))))))),"")</f>
        <v>0</v>
      </c>
      <c r="AM103" s="209"/>
      <c r="AN103" s="246">
        <f t="shared" ca="1" si="37"/>
        <v>0</v>
      </c>
      <c r="AO103" s="208"/>
      <c r="AP103" s="208"/>
      <c r="AQ103" s="119"/>
    </row>
    <row r="104" spans="1:43" s="38" customFormat="1" ht="15" hidden="1" customHeight="1" outlineLevel="1" x14ac:dyDescent="0.2">
      <c r="A104" s="215" t="str">
        <f t="shared" ca="1" si="36"/>
        <v/>
      </c>
      <c r="B104" s="40"/>
      <c r="C104" s="40"/>
      <c r="D104" s="40"/>
      <c r="E104" s="27"/>
      <c r="F104" s="40"/>
      <c r="G104" s="40"/>
      <c r="H104" s="40"/>
      <c r="I104" s="40"/>
      <c r="J104" s="27"/>
      <c r="K104" s="40"/>
      <c r="L104" s="27"/>
      <c r="M104" s="40"/>
      <c r="N104" s="40"/>
      <c r="O104" s="40"/>
      <c r="P104" s="40"/>
      <c r="Q104" s="27"/>
      <c r="R104" s="40"/>
      <c r="S104" s="27"/>
      <c r="T104" s="27"/>
      <c r="U104" s="40"/>
      <c r="V104" s="40"/>
      <c r="W104" s="40"/>
      <c r="X104" s="27"/>
      <c r="Y104" s="40"/>
      <c r="Z104" s="39"/>
      <c r="AA104" s="40"/>
      <c r="AB104" s="40"/>
      <c r="AC104" s="40"/>
      <c r="AD104" s="40"/>
      <c r="AE104" s="27"/>
      <c r="AF104" s="40"/>
      <c r="AG104" s="205" t="str">
        <f t="shared" ca="1" si="34"/>
        <v/>
      </c>
      <c r="AH104" s="233"/>
      <c r="AI104" s="238">
        <f t="shared" si="38"/>
        <v>0</v>
      </c>
      <c r="AJ104" s="261"/>
      <c r="AK104" s="224"/>
      <c r="AL104" s="245">
        <f ca="1">IF(EB.Anwendung&lt;&gt;"",IF(MONTH(Monat.Tag1)=1,0,IF(MONTH(Monat.Tag1)=2,January!Monat.P8UeVM,IF(MONTH(Monat.Tag1)=3,February!Monat.P8UeVM,IF(MONTH(Monat.Tag1)=4,March!Monat.P8UeVM,IF(MONTH(Monat.Tag1)=5,April!Monat.P8UeVM,IF(MONTH(Monat.Tag1)=6,May!Monat.P8UeVM,IF(MONTH(Monat.Tag1)=7,June!Monat.P8UeVM,IF(MONTH(Monat.Tag1)=8,July!Monat.P8UeVM,IF(MONTH(Monat.Tag1)=9,August!Monat.P8UeVM,IF(MONTH(Monat.Tag1)=10,September!Monat.P8UeVM,IF(MONTH(Monat.Tag1)=11,October!Monat.P8UeVM,IF(MONTH(Monat.Tag1)=12,November!Monat.P8UeVM,"")))))))))))),"")</f>
        <v>0</v>
      </c>
      <c r="AM104" s="209"/>
      <c r="AN104" s="246">
        <f t="shared" ca="1" si="37"/>
        <v>0</v>
      </c>
      <c r="AO104" s="208"/>
      <c r="AP104" s="208"/>
      <c r="AQ104" s="119"/>
    </row>
    <row r="105" spans="1:43" s="38" customFormat="1" ht="15" hidden="1" customHeight="1" outlineLevel="1" x14ac:dyDescent="0.2">
      <c r="A105" s="215" t="str">
        <f t="shared" ca="1" si="36"/>
        <v/>
      </c>
      <c r="B105" s="40"/>
      <c r="C105" s="40"/>
      <c r="D105" s="40"/>
      <c r="E105" s="27"/>
      <c r="F105" s="40"/>
      <c r="G105" s="40"/>
      <c r="H105" s="40"/>
      <c r="I105" s="40"/>
      <c r="J105" s="27"/>
      <c r="K105" s="40"/>
      <c r="L105" s="27"/>
      <c r="M105" s="40"/>
      <c r="N105" s="40"/>
      <c r="O105" s="40"/>
      <c r="P105" s="40"/>
      <c r="Q105" s="27"/>
      <c r="R105" s="40"/>
      <c r="S105" s="27"/>
      <c r="T105" s="27"/>
      <c r="U105" s="40"/>
      <c r="V105" s="40"/>
      <c r="W105" s="40"/>
      <c r="X105" s="27"/>
      <c r="Y105" s="40"/>
      <c r="Z105" s="39"/>
      <c r="AA105" s="40"/>
      <c r="AB105" s="40"/>
      <c r="AC105" s="40"/>
      <c r="AD105" s="40"/>
      <c r="AE105" s="27"/>
      <c r="AF105" s="40"/>
      <c r="AG105" s="205" t="str">
        <f t="shared" ca="1" si="34"/>
        <v/>
      </c>
      <c r="AH105" s="218"/>
      <c r="AI105" s="238">
        <f t="shared" si="38"/>
        <v>0</v>
      </c>
      <c r="AJ105" s="261"/>
      <c r="AK105" s="224"/>
      <c r="AL105" s="245">
        <f ca="1">IF(EB.Anwendung&lt;&gt;"",IF(MONTH(Monat.Tag1)=1,0,IF(MONTH(Monat.Tag1)=2,January!Monat.P9UeVM,IF(MONTH(Monat.Tag1)=3,February!Monat.P9UeVM,IF(MONTH(Monat.Tag1)=4,March!Monat.P9UeVM,IF(MONTH(Monat.Tag1)=5,April!Monat.P9UeVM,IF(MONTH(Monat.Tag1)=6,May!Monat.P9UeVM,IF(MONTH(Monat.Tag1)=7,June!Monat.P9UeVM,IF(MONTH(Monat.Tag1)=8,July!Monat.P9UeVM,IF(MONTH(Monat.Tag1)=9,August!Monat.P9UeVM,IF(MONTH(Monat.Tag1)=10,September!Monat.P9UeVM,IF(MONTH(Monat.Tag1)=11,October!Monat.P9UeVM,IF(MONTH(Monat.Tag1)=12,November!Monat.P9UeVM,"")))))))))))),"")</f>
        <v>0</v>
      </c>
      <c r="AM105" s="209"/>
      <c r="AN105" s="246">
        <f t="shared" ca="1" si="37"/>
        <v>0</v>
      </c>
      <c r="AO105" s="208"/>
      <c r="AP105" s="208"/>
      <c r="AQ105" s="119"/>
    </row>
    <row r="106" spans="1:43" s="38" customFormat="1" ht="15" hidden="1" customHeight="1" outlineLevel="1" x14ac:dyDescent="0.2">
      <c r="A106" s="215" t="str">
        <f t="shared" ca="1" si="36"/>
        <v/>
      </c>
      <c r="B106" s="40"/>
      <c r="C106" s="40"/>
      <c r="D106" s="40"/>
      <c r="E106" s="27"/>
      <c r="F106" s="40"/>
      <c r="G106" s="40"/>
      <c r="H106" s="40"/>
      <c r="I106" s="40"/>
      <c r="J106" s="27"/>
      <c r="K106" s="40"/>
      <c r="L106" s="27"/>
      <c r="M106" s="40"/>
      <c r="N106" s="40"/>
      <c r="O106" s="40"/>
      <c r="P106" s="40"/>
      <c r="Q106" s="27"/>
      <c r="R106" s="40"/>
      <c r="S106" s="27"/>
      <c r="T106" s="27"/>
      <c r="U106" s="40"/>
      <c r="V106" s="40"/>
      <c r="W106" s="40"/>
      <c r="X106" s="27"/>
      <c r="Y106" s="40"/>
      <c r="Z106" s="39"/>
      <c r="AA106" s="40"/>
      <c r="AB106" s="40"/>
      <c r="AC106" s="40"/>
      <c r="AD106" s="40"/>
      <c r="AE106" s="27"/>
      <c r="AF106" s="40"/>
      <c r="AG106" s="205" t="str">
        <f t="shared" ca="1" si="34"/>
        <v/>
      </c>
      <c r="AH106" s="218"/>
      <c r="AI106" s="238">
        <f t="shared" si="38"/>
        <v>0</v>
      </c>
      <c r="AJ106" s="261"/>
      <c r="AK106" s="224"/>
      <c r="AL106" s="245">
        <f ca="1">IF(EB.Anwendung&lt;&gt;"",IF(MONTH(Monat.Tag1)=1,0,IF(MONTH(Monat.Tag1)=2,January!Monat.P10UeVM,IF(MONTH(Monat.Tag1)=3,February!Monat.P10UeVM,IF(MONTH(Monat.Tag1)=4,March!Monat.P10UeVM,IF(MONTH(Monat.Tag1)=5,April!Monat.P10UeVM,IF(MONTH(Monat.Tag1)=6,May!Monat.P10UeVM,IF(MONTH(Monat.Tag1)=7,June!Monat.P10UeVM,IF(MONTH(Monat.Tag1)=8,July!Monat.P10UeVM,IF(MONTH(Monat.Tag1)=9,August!Monat.P10UeVM,IF(MONTH(Monat.Tag1)=10,September!Monat.P10UeVM,IF(MONTH(Monat.Tag1)=11,October!Monat.P10UeVM,IF(MONTH(Monat.Tag1)=12,November!Monat.P10UeVM,"")))))))))))),"")</f>
        <v>0</v>
      </c>
      <c r="AM106" s="209"/>
      <c r="AN106" s="246">
        <f t="shared" ca="1" si="37"/>
        <v>0</v>
      </c>
      <c r="AO106" s="208"/>
      <c r="AP106" s="208"/>
      <c r="AQ106" s="119"/>
    </row>
    <row r="107" spans="1:43" s="38" customFormat="1" ht="15" hidden="1" customHeight="1" outlineLevel="1" x14ac:dyDescent="0.2">
      <c r="A107" s="215" t="str">
        <f t="shared" ca="1" si="36"/>
        <v/>
      </c>
      <c r="B107" s="40"/>
      <c r="C107" s="40"/>
      <c r="D107" s="40"/>
      <c r="E107" s="27"/>
      <c r="F107" s="40"/>
      <c r="G107" s="40"/>
      <c r="H107" s="40"/>
      <c r="I107" s="40"/>
      <c r="J107" s="27"/>
      <c r="K107" s="40"/>
      <c r="L107" s="27"/>
      <c r="M107" s="40"/>
      <c r="N107" s="40"/>
      <c r="O107" s="40"/>
      <c r="P107" s="40"/>
      <c r="Q107" s="27"/>
      <c r="R107" s="40"/>
      <c r="S107" s="27"/>
      <c r="T107" s="27"/>
      <c r="U107" s="40"/>
      <c r="V107" s="40"/>
      <c r="W107" s="40"/>
      <c r="X107" s="27"/>
      <c r="Y107" s="40"/>
      <c r="Z107" s="39"/>
      <c r="AA107" s="40"/>
      <c r="AB107" s="40"/>
      <c r="AC107" s="40"/>
      <c r="AD107" s="40"/>
      <c r="AE107" s="27"/>
      <c r="AF107" s="40"/>
      <c r="AG107" s="205" t="str">
        <f ca="1">A107</f>
        <v/>
      </c>
      <c r="AH107" s="233"/>
      <c r="AI107" s="238">
        <f t="shared" si="38"/>
        <v>0</v>
      </c>
      <c r="AJ107" s="261"/>
      <c r="AK107" s="224"/>
      <c r="AL107" s="245">
        <f ca="1">IF(EB.Anwendung&lt;&gt;"",IF(MONTH(Monat.Tag1)=1,0,IF(MONTH(Monat.Tag1)=2,January!Monat.P11UeVM,IF(MONTH(Monat.Tag1)=3,February!Monat.P11UeVM,IF(MONTH(Monat.Tag1)=4,March!Monat.P11UeVM,IF(MONTH(Monat.Tag1)=5,April!Monat.P11UeVM,IF(MONTH(Monat.Tag1)=6,May!Monat.P11UeVM,IF(MONTH(Monat.Tag1)=7,June!Monat.P11UeVM,IF(MONTH(Monat.Tag1)=8,July!Monat.P11UeVM,IF(MONTH(Monat.Tag1)=9,August!Monat.P11UeVM,IF(MONTH(Monat.Tag1)=10,September!Monat.P11UeVM,IF(MONTH(Monat.Tag1)=11,October!Monat.P11UeVM,IF(MONTH(Monat.Tag1)=12,November!Monat.P11UeVM,"")))))))))))),"")</f>
        <v>0</v>
      </c>
      <c r="AM107" s="209"/>
      <c r="AN107" s="246">
        <f t="shared" ca="1" si="37"/>
        <v>0</v>
      </c>
      <c r="AO107" s="287"/>
      <c r="AP107" s="287"/>
      <c r="AQ107" s="119"/>
    </row>
    <row r="108" spans="1:43" s="49" customFormat="1" ht="15" hidden="1" customHeight="1" outlineLevel="1" x14ac:dyDescent="0.2">
      <c r="A108" s="215" t="str">
        <f t="shared" ca="1" si="36"/>
        <v/>
      </c>
      <c r="B108" s="40"/>
      <c r="C108" s="40"/>
      <c r="D108" s="40"/>
      <c r="E108" s="27"/>
      <c r="F108" s="40"/>
      <c r="G108" s="40"/>
      <c r="H108" s="40"/>
      <c r="I108" s="40"/>
      <c r="J108" s="27"/>
      <c r="K108" s="40"/>
      <c r="L108" s="27"/>
      <c r="M108" s="40"/>
      <c r="N108" s="40"/>
      <c r="O108" s="40"/>
      <c r="P108" s="40"/>
      <c r="Q108" s="27"/>
      <c r="R108" s="40"/>
      <c r="S108" s="27"/>
      <c r="T108" s="27"/>
      <c r="U108" s="40"/>
      <c r="V108" s="40"/>
      <c r="W108" s="40"/>
      <c r="X108" s="27"/>
      <c r="Y108" s="40"/>
      <c r="Z108" s="39"/>
      <c r="AA108" s="40"/>
      <c r="AB108" s="40"/>
      <c r="AC108" s="40"/>
      <c r="AD108" s="40"/>
      <c r="AE108" s="27"/>
      <c r="AF108" s="40"/>
      <c r="AG108" s="205" t="str">
        <f t="shared" ca="1" si="34"/>
        <v/>
      </c>
      <c r="AH108" s="233"/>
      <c r="AI108" s="238">
        <f t="shared" si="38"/>
        <v>0</v>
      </c>
      <c r="AJ108" s="261"/>
      <c r="AK108" s="224"/>
      <c r="AL108" s="245">
        <f ca="1">IF(EB.Anwendung&lt;&gt;"",IF(MONTH(Monat.Tag1)=1,0,IF(MONTH(Monat.Tag1)=2,January!Monat.P12UeVM,IF(MONTH(Monat.Tag1)=3,February!Monat.P12UeVM,IF(MONTH(Monat.Tag1)=4,March!Monat.P12UeVM,IF(MONTH(Monat.Tag1)=5,April!Monat.P12UeVM,IF(MONTH(Monat.Tag1)=6,May!Monat.P12UeVM,IF(MONTH(Monat.Tag1)=7,June!Monat.P12UeVM,IF(MONTH(Monat.Tag1)=8,July!Monat.P12UeVM,IF(MONTH(Monat.Tag1)=9,August!Monat.P12UeVM,IF(MONTH(Monat.Tag1)=10,September!Monat.P12UeVM,IF(MONTH(Monat.Tag1)=11,October!Monat.P12UeVM,IF(MONTH(Monat.Tag1)=12,November!Monat.P12UeVM,"")))))))))))),"")</f>
        <v>0</v>
      </c>
      <c r="AM108" s="209"/>
      <c r="AN108" s="246">
        <f t="shared" ca="1" si="37"/>
        <v>0</v>
      </c>
      <c r="AO108" s="287"/>
      <c r="AP108" s="287"/>
      <c r="AQ108" s="288"/>
    </row>
    <row r="109" spans="1:43" s="49" customFormat="1" ht="15" hidden="1" customHeight="1" outlineLevel="1" x14ac:dyDescent="0.2">
      <c r="A109" s="215" t="str">
        <f t="shared" ca="1" si="36"/>
        <v/>
      </c>
      <c r="B109" s="40"/>
      <c r="C109" s="40"/>
      <c r="D109" s="40"/>
      <c r="E109" s="27"/>
      <c r="F109" s="40"/>
      <c r="G109" s="40"/>
      <c r="H109" s="40"/>
      <c r="I109" s="40"/>
      <c r="J109" s="27"/>
      <c r="K109" s="40"/>
      <c r="L109" s="27"/>
      <c r="M109" s="40"/>
      <c r="N109" s="40"/>
      <c r="O109" s="40"/>
      <c r="P109" s="40"/>
      <c r="Q109" s="27"/>
      <c r="R109" s="40"/>
      <c r="S109" s="27"/>
      <c r="T109" s="27"/>
      <c r="U109" s="40"/>
      <c r="V109" s="40"/>
      <c r="W109" s="40"/>
      <c r="X109" s="27"/>
      <c r="Y109" s="40"/>
      <c r="Z109" s="39"/>
      <c r="AA109" s="40"/>
      <c r="AB109" s="40"/>
      <c r="AC109" s="40"/>
      <c r="AD109" s="40"/>
      <c r="AE109" s="27"/>
      <c r="AF109" s="40"/>
      <c r="AG109" s="205" t="str">
        <f t="shared" ca="1" si="34"/>
        <v/>
      </c>
      <c r="AH109" s="218"/>
      <c r="AI109" s="238">
        <f t="shared" si="38"/>
        <v>0</v>
      </c>
      <c r="AJ109" s="261"/>
      <c r="AK109" s="224"/>
      <c r="AL109" s="245">
        <f ca="1">IF(EB.Anwendung&lt;&gt;"",IF(MONTH(Monat.Tag1)=1,0,IF(MONTH(Monat.Tag1)=2,January!Monat.P13UeVM,IF(MONTH(Monat.Tag1)=3,February!Monat.P13UeVM,IF(MONTH(Monat.Tag1)=4,March!Monat.P13UeVM,IF(MONTH(Monat.Tag1)=5,April!Monat.P13UeVM,IF(MONTH(Monat.Tag1)=6,May!Monat.P13UeVM,IF(MONTH(Monat.Tag1)=7,June!Monat.P13UeVM,IF(MONTH(Monat.Tag1)=8,July!Monat.P13UeVM,IF(MONTH(Monat.Tag1)=9,August!Monat.P13UeVM,IF(MONTH(Monat.Tag1)=10,September!Monat.P13UeVM,IF(MONTH(Monat.Tag1)=11,October!Monat.P13UeVM,IF(MONTH(Monat.Tag1)=12,November!Monat.P13UeVM,"")))))))))))),"")</f>
        <v>0</v>
      </c>
      <c r="AM109" s="209"/>
      <c r="AN109" s="246">
        <f t="shared" ca="1" si="37"/>
        <v>0</v>
      </c>
      <c r="AO109" s="287"/>
      <c r="AP109" s="287"/>
      <c r="AQ109" s="288"/>
    </row>
    <row r="110" spans="1:43" ht="15" hidden="1" customHeight="1" outlineLevel="1" x14ac:dyDescent="0.2">
      <c r="A110" s="215" t="str">
        <f t="shared" ca="1" si="36"/>
        <v/>
      </c>
      <c r="B110" s="40"/>
      <c r="C110" s="40"/>
      <c r="D110" s="40"/>
      <c r="E110" s="27"/>
      <c r="F110" s="40"/>
      <c r="G110" s="40"/>
      <c r="H110" s="40"/>
      <c r="I110" s="40"/>
      <c r="J110" s="27"/>
      <c r="K110" s="40"/>
      <c r="L110" s="27"/>
      <c r="M110" s="40"/>
      <c r="N110" s="40"/>
      <c r="O110" s="40"/>
      <c r="P110" s="40"/>
      <c r="Q110" s="27"/>
      <c r="R110" s="40"/>
      <c r="S110" s="27"/>
      <c r="T110" s="27"/>
      <c r="U110" s="40"/>
      <c r="V110" s="40"/>
      <c r="W110" s="40"/>
      <c r="X110" s="27"/>
      <c r="Y110" s="40"/>
      <c r="Z110" s="39"/>
      <c r="AA110" s="40"/>
      <c r="AB110" s="40"/>
      <c r="AC110" s="40"/>
      <c r="AD110" s="40"/>
      <c r="AE110" s="27"/>
      <c r="AF110" s="40"/>
      <c r="AG110" s="205" t="str">
        <f t="shared" ca="1" si="34"/>
        <v/>
      </c>
      <c r="AH110" s="218"/>
      <c r="AI110" s="238">
        <f t="shared" si="38"/>
        <v>0</v>
      </c>
      <c r="AJ110" s="261"/>
      <c r="AK110" s="224"/>
      <c r="AL110" s="245">
        <f ca="1">IF(EB.Anwendung&lt;&gt;"",IF(MONTH(Monat.Tag1)=1,0,IF(MONTH(Monat.Tag1)=2,January!Monat.P14UeVM,IF(MONTH(Monat.Tag1)=3,February!Monat.P14UeVM,IF(MONTH(Monat.Tag1)=4,March!Monat.P14UeVM,IF(MONTH(Monat.Tag1)=5,April!Monat.P14UeVM,IF(MONTH(Monat.Tag1)=6,May!Monat.P14UeVM,IF(MONTH(Monat.Tag1)=7,June!Monat.P14UeVM,IF(MONTH(Monat.Tag1)=8,July!Monat.P14UeVM,IF(MONTH(Monat.Tag1)=9,August!Monat.P14UeVM,IF(MONTH(Monat.Tag1)=10,September!Monat.P14UeVM,IF(MONTH(Monat.Tag1)=11,October!Monat.P14UeVM,IF(MONTH(Monat.Tag1)=12,November!Monat.P14UeVM,"")))))))))))),"")</f>
        <v>0</v>
      </c>
      <c r="AM110" s="209"/>
      <c r="AN110" s="246">
        <f t="shared" ca="1" si="37"/>
        <v>0</v>
      </c>
      <c r="AO110" s="287"/>
      <c r="AP110" s="287"/>
      <c r="AQ110" s="123"/>
    </row>
    <row r="111" spans="1:43" ht="15" hidden="1" customHeight="1" outlineLevel="1" x14ac:dyDescent="0.2">
      <c r="A111" s="215" t="str">
        <f t="shared" ca="1" si="36"/>
        <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7"/>
      <c r="AA111" s="40"/>
      <c r="AB111" s="40"/>
      <c r="AC111" s="40"/>
      <c r="AD111" s="40"/>
      <c r="AE111" s="40"/>
      <c r="AF111" s="40"/>
      <c r="AG111" s="205" t="str">
        <f t="shared" ca="1" si="34"/>
        <v/>
      </c>
      <c r="AH111" s="218"/>
      <c r="AI111" s="238">
        <f t="shared" si="38"/>
        <v>0</v>
      </c>
      <c r="AJ111" s="261"/>
      <c r="AK111" s="224"/>
      <c r="AL111" s="245">
        <f ca="1">IF(EB.Anwendung&lt;&gt;"",IF(MONTH(Monat.Tag1)=1,0,IF(MONTH(Monat.Tag1)=2,January!Monat.P15UeVM,IF(MONTH(Monat.Tag1)=3,February!Monat.P15UeVM,IF(MONTH(Monat.Tag1)=4,March!Monat.P15UeVM,IF(MONTH(Monat.Tag1)=5,April!Monat.P15UeVM,IF(MONTH(Monat.Tag1)=6,May!Monat.P15UeVM,IF(MONTH(Monat.Tag1)=7,June!Monat.P15UeVM,IF(MONTH(Monat.Tag1)=8,July!Monat.P15UeVM,IF(MONTH(Monat.Tag1)=9,August!Monat.P15UeVM,IF(MONTH(Monat.Tag1)=10,September!Monat.P15UeVM,IF(MONTH(Monat.Tag1)=11,October!Monat.P15UeVM,IF(MONTH(Monat.Tag1)=12,November!Monat.P15UeVM,"")))))))))))),"")</f>
        <v>0</v>
      </c>
      <c r="AM111" s="209"/>
      <c r="AN111" s="246">
        <f t="shared" ca="1" si="37"/>
        <v>0</v>
      </c>
      <c r="AO111" s="287"/>
      <c r="AP111" s="287"/>
      <c r="AQ111" s="123"/>
    </row>
    <row r="112" spans="1:43" ht="15" customHeight="1" collapsed="1" x14ac:dyDescent="0.2">
      <c r="A112" s="215" t="s">
        <v>168</v>
      </c>
      <c r="B112" s="236">
        <f>SUM(B97:B111)</f>
        <v>0</v>
      </c>
      <c r="C112" s="236">
        <f t="shared" ref="C112:AF112" si="39">SUM(C97:C111)</f>
        <v>0</v>
      </c>
      <c r="D112" s="236">
        <f t="shared" si="39"/>
        <v>0</v>
      </c>
      <c r="E112" s="236">
        <f t="shared" si="39"/>
        <v>0</v>
      </c>
      <c r="F112" s="236">
        <f t="shared" si="39"/>
        <v>0</v>
      </c>
      <c r="G112" s="236">
        <f t="shared" si="39"/>
        <v>0</v>
      </c>
      <c r="H112" s="236">
        <f t="shared" si="39"/>
        <v>0</v>
      </c>
      <c r="I112" s="236">
        <f t="shared" si="39"/>
        <v>0</v>
      </c>
      <c r="J112" s="236">
        <f t="shared" si="39"/>
        <v>0</v>
      </c>
      <c r="K112" s="236">
        <f t="shared" si="39"/>
        <v>0</v>
      </c>
      <c r="L112" s="236">
        <f t="shared" si="39"/>
        <v>0</v>
      </c>
      <c r="M112" s="236">
        <f t="shared" si="39"/>
        <v>0</v>
      </c>
      <c r="N112" s="236">
        <f t="shared" si="39"/>
        <v>0</v>
      </c>
      <c r="O112" s="236">
        <f t="shared" si="39"/>
        <v>0</v>
      </c>
      <c r="P112" s="236">
        <f t="shared" si="39"/>
        <v>0</v>
      </c>
      <c r="Q112" s="236">
        <f t="shared" si="39"/>
        <v>0</v>
      </c>
      <c r="R112" s="236">
        <f t="shared" si="39"/>
        <v>0</v>
      </c>
      <c r="S112" s="236">
        <f t="shared" si="39"/>
        <v>0</v>
      </c>
      <c r="T112" s="236">
        <f t="shared" si="39"/>
        <v>0</v>
      </c>
      <c r="U112" s="236">
        <f t="shared" si="39"/>
        <v>0</v>
      </c>
      <c r="V112" s="236">
        <f t="shared" si="39"/>
        <v>0</v>
      </c>
      <c r="W112" s="236">
        <f t="shared" si="39"/>
        <v>0</v>
      </c>
      <c r="X112" s="236">
        <f t="shared" si="39"/>
        <v>0</v>
      </c>
      <c r="Y112" s="236">
        <f t="shared" si="39"/>
        <v>0</v>
      </c>
      <c r="Z112" s="236">
        <f t="shared" si="39"/>
        <v>0</v>
      </c>
      <c r="AA112" s="236">
        <f t="shared" si="39"/>
        <v>0</v>
      </c>
      <c r="AB112" s="236">
        <f t="shared" si="39"/>
        <v>0</v>
      </c>
      <c r="AC112" s="236">
        <f t="shared" si="39"/>
        <v>0</v>
      </c>
      <c r="AD112" s="236">
        <f t="shared" si="39"/>
        <v>0</v>
      </c>
      <c r="AE112" s="236">
        <f t="shared" si="39"/>
        <v>0</v>
      </c>
      <c r="AF112" s="236">
        <f t="shared" si="39"/>
        <v>0</v>
      </c>
      <c r="AG112" s="217" t="str">
        <f t="shared" si="34"/>
        <v>Hours worked for projects</v>
      </c>
      <c r="AH112" s="218"/>
      <c r="AI112" s="238">
        <f t="shared" si="38"/>
        <v>0</v>
      </c>
      <c r="AJ112" s="261"/>
      <c r="AK112" s="224"/>
      <c r="AL112" s="245">
        <f ca="1">IF(EB.Anwendung&lt;&gt;"",IF(MONTH(Monat.Tag1)=1,0,IF(MONTH(Monat.Tag1)=2,January!Monat.PTotalUeVM,IF(MONTH(Monat.Tag1)=3,February!Monat.PTotalUeVM,IF(MONTH(Monat.Tag1)=4,March!Monat.PTotalUeVM,IF(MONTH(Monat.Tag1)=5,April!Monat.PTotalUeVM,IF(MONTH(Monat.Tag1)=6,May!Monat.PTotalUeVM,IF(MONTH(Monat.Tag1)=7,June!Monat.PTotalUeVM,IF(MONTH(Monat.Tag1)=8,July!Monat.PTotalUeVM,IF(MONTH(Monat.Tag1)=9,August!Monat.PTotalUeVM,IF(MONTH(Monat.Tag1)=10,September!Monat.PTotalUeVM,IF(MONTH(Monat.Tag1)=11,October!Monat.PTotalUeVM,IF(MONTH(Monat.Tag1)=12,November!Monat.PTotalUeVM,"")))))))))))),"")</f>
        <v>0</v>
      </c>
      <c r="AM112" s="209"/>
      <c r="AN112" s="246">
        <f t="shared" ca="1" si="37"/>
        <v>0</v>
      </c>
      <c r="AO112" s="289"/>
      <c r="AP112" s="289"/>
      <c r="AQ112" s="123"/>
    </row>
    <row r="113" spans="1:43" s="38" customFormat="1" ht="11.25" customHeight="1" x14ac:dyDescent="0.2">
      <c r="A113" s="290"/>
      <c r="B113" s="226"/>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91"/>
      <c r="AH113" s="286"/>
      <c r="AI113" s="226"/>
      <c r="AJ113" s="292"/>
      <c r="AK113" s="226"/>
      <c r="AL113" s="226"/>
      <c r="AM113" s="226"/>
      <c r="AN113" s="130"/>
      <c r="AO113" s="226"/>
      <c r="AP113" s="226"/>
      <c r="AQ113" s="119"/>
    </row>
    <row r="114" spans="1:43" s="38" customFormat="1" ht="15" hidden="1" customHeight="1" outlineLevel="1" x14ac:dyDescent="0.2">
      <c r="A114" s="215" t="s">
        <v>225</v>
      </c>
      <c r="B114" s="241">
        <f t="shared" ref="B114:AF114" si="40">ROUND(((B23+B45+B91)-SUMPRODUCT((B97:B111)*(EB.Projektart.Bereich=6)))*1440,0)/1440</f>
        <v>0</v>
      </c>
      <c r="C114" s="241">
        <f t="shared" si="40"/>
        <v>0</v>
      </c>
      <c r="D114" s="241">
        <f t="shared" si="40"/>
        <v>0</v>
      </c>
      <c r="E114" s="241">
        <f t="shared" si="40"/>
        <v>0</v>
      </c>
      <c r="F114" s="241">
        <f t="shared" si="40"/>
        <v>0</v>
      </c>
      <c r="G114" s="241">
        <f t="shared" si="40"/>
        <v>0</v>
      </c>
      <c r="H114" s="241">
        <f t="shared" si="40"/>
        <v>0</v>
      </c>
      <c r="I114" s="241">
        <f t="shared" si="40"/>
        <v>0</v>
      </c>
      <c r="J114" s="241">
        <f t="shared" si="40"/>
        <v>0</v>
      </c>
      <c r="K114" s="241">
        <f t="shared" si="40"/>
        <v>0</v>
      </c>
      <c r="L114" s="241">
        <f t="shared" si="40"/>
        <v>0</v>
      </c>
      <c r="M114" s="241">
        <f t="shared" si="40"/>
        <v>0</v>
      </c>
      <c r="N114" s="241">
        <f t="shared" si="40"/>
        <v>0</v>
      </c>
      <c r="O114" s="241">
        <f t="shared" si="40"/>
        <v>0</v>
      </c>
      <c r="P114" s="241">
        <f t="shared" si="40"/>
        <v>0</v>
      </c>
      <c r="Q114" s="241">
        <f t="shared" si="40"/>
        <v>0</v>
      </c>
      <c r="R114" s="241">
        <f t="shared" si="40"/>
        <v>0</v>
      </c>
      <c r="S114" s="241">
        <f t="shared" si="40"/>
        <v>0</v>
      </c>
      <c r="T114" s="241">
        <f t="shared" si="40"/>
        <v>0</v>
      </c>
      <c r="U114" s="241">
        <f t="shared" si="40"/>
        <v>0</v>
      </c>
      <c r="V114" s="241">
        <f t="shared" si="40"/>
        <v>0</v>
      </c>
      <c r="W114" s="241">
        <f t="shared" si="40"/>
        <v>0</v>
      </c>
      <c r="X114" s="241">
        <f t="shared" si="40"/>
        <v>0</v>
      </c>
      <c r="Y114" s="241">
        <f t="shared" si="40"/>
        <v>0</v>
      </c>
      <c r="Z114" s="241">
        <f t="shared" si="40"/>
        <v>0</v>
      </c>
      <c r="AA114" s="241">
        <f t="shared" si="40"/>
        <v>0</v>
      </c>
      <c r="AB114" s="241">
        <f t="shared" si="40"/>
        <v>0</v>
      </c>
      <c r="AC114" s="241">
        <f t="shared" si="40"/>
        <v>0</v>
      </c>
      <c r="AD114" s="241">
        <f t="shared" si="40"/>
        <v>0</v>
      </c>
      <c r="AE114" s="241">
        <f t="shared" si="40"/>
        <v>0</v>
      </c>
      <c r="AF114" s="241">
        <f t="shared" si="40"/>
        <v>0</v>
      </c>
      <c r="AG114" s="217" t="str">
        <f t="shared" ref="AG114" si="41">A114</f>
        <v>Difference WH-Project type 6</v>
      </c>
      <c r="AH114" s="228"/>
      <c r="AI114" s="238">
        <f>SUM(B114:AF114)</f>
        <v>0</v>
      </c>
      <c r="AJ114" s="261"/>
      <c r="AK114" s="262"/>
      <c r="AL114" s="245">
        <f ca="1">IF(EB.Anwendung&lt;&gt;"",IF(MONTH(Monat.Tag1)=1,0,IF(MONTH(Monat.Tag1)=2,January!Monat.PDiffUeVM,IF(MONTH(Monat.Tag1)=3,February!Monat.PDiffUeVM,IF(MONTH(Monat.Tag1)=4,March!Monat.PDiffUeVM,IF(MONTH(Monat.Tag1)=5,April!Monat.PDiffUeVM,IF(MONTH(Monat.Tag1)=6,May!Monat.PDiffUeVM,IF(MONTH(Monat.Tag1)=7,June!Monat.PDiffUeVM,IF(MONTH(Monat.Tag1)=8,July!Monat.PDiffUeVM,IF(MONTH(Monat.Tag1)=9,August!Monat.PDiffUeVM,IF(MONTH(Monat.Tag1)=10,September!Monat.PDiffUeVM,IF(MONTH(Monat.Tag1)=11,October!Monat.PDiffUeVM,IF(MONTH(Monat.Tag1)=12,November!Monat.PDiffUeVM,"")))))))))))),"")</f>
        <v>0</v>
      </c>
      <c r="AM114" s="262"/>
      <c r="AN114" s="246">
        <f ca="1">AI114+AL114</f>
        <v>0</v>
      </c>
      <c r="AO114" s="262"/>
      <c r="AP114" s="262"/>
      <c r="AQ114" s="119"/>
    </row>
    <row r="115" spans="1:43" ht="11.25" hidden="1" customHeight="1" outlineLevel="1" x14ac:dyDescent="0.2">
      <c r="A115" s="123"/>
      <c r="B115" s="293"/>
      <c r="C115" s="293"/>
      <c r="D115" s="293"/>
      <c r="E115" s="293"/>
      <c r="F115" s="293"/>
      <c r="G115" s="293"/>
      <c r="H115" s="293"/>
      <c r="I115" s="293"/>
      <c r="J115" s="294"/>
      <c r="K115" s="293"/>
      <c r="L115" s="293"/>
      <c r="M115" s="293"/>
      <c r="N115" s="293"/>
      <c r="O115" s="293"/>
      <c r="P115" s="293"/>
      <c r="Q115" s="293"/>
      <c r="R115" s="293"/>
      <c r="S115" s="293"/>
      <c r="T115" s="293"/>
      <c r="U115" s="293"/>
      <c r="V115" s="293"/>
      <c r="W115" s="293"/>
      <c r="X115" s="293"/>
      <c r="Y115" s="293"/>
      <c r="Z115" s="293"/>
      <c r="AA115" s="293"/>
      <c r="AB115" s="293"/>
      <c r="AC115" s="293"/>
      <c r="AD115" s="293"/>
      <c r="AE115" s="293"/>
      <c r="AF115" s="293"/>
      <c r="AG115" s="295"/>
      <c r="AH115" s="296"/>
      <c r="AI115" s="123"/>
      <c r="AJ115" s="123"/>
      <c r="AK115" s="123"/>
      <c r="AL115" s="123"/>
      <c r="AM115" s="123"/>
      <c r="AN115" s="297"/>
      <c r="AO115" s="123"/>
      <c r="AP115" s="123"/>
      <c r="AQ115" s="123"/>
    </row>
    <row r="116" spans="1:43" ht="11.25" customHeight="1" collapsed="1" x14ac:dyDescent="0.2">
      <c r="A116" s="123"/>
      <c r="B116" s="293"/>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293"/>
      <c r="AA116" s="293"/>
      <c r="AB116" s="293"/>
      <c r="AC116" s="293"/>
      <c r="AD116" s="293"/>
      <c r="AE116" s="293"/>
      <c r="AF116" s="293"/>
      <c r="AG116" s="295"/>
      <c r="AH116" s="296"/>
      <c r="AI116" s="123"/>
      <c r="AJ116" s="123"/>
      <c r="AK116" s="123"/>
      <c r="AL116" s="123"/>
      <c r="AM116" s="123"/>
      <c r="AN116" s="297"/>
      <c r="AO116" s="123"/>
      <c r="AP116" s="123"/>
      <c r="AQ116" s="123"/>
    </row>
    <row r="117" spans="1:43" ht="12" customHeight="1" x14ac:dyDescent="0.2">
      <c r="A117" s="123"/>
      <c r="B117" s="490" t="s">
        <v>226</v>
      </c>
      <c r="C117" s="490"/>
      <c r="D117" s="490"/>
      <c r="E117" s="490"/>
      <c r="F117" s="490"/>
      <c r="G117" s="490"/>
      <c r="H117" s="490"/>
      <c r="I117" s="490"/>
      <c r="J117" s="490"/>
      <c r="K117" s="490"/>
      <c r="L117" s="490"/>
      <c r="M117" s="490"/>
      <c r="N117" s="490"/>
      <c r="O117" s="490"/>
      <c r="P117" s="490"/>
      <c r="Q117" s="490"/>
      <c r="R117" s="298"/>
      <c r="S117" s="298"/>
      <c r="T117" s="298"/>
      <c r="U117" s="298"/>
      <c r="V117" s="298"/>
      <c r="W117" s="298"/>
      <c r="X117" s="298"/>
      <c r="Y117" s="298"/>
      <c r="Z117" s="298"/>
      <c r="AA117" s="298"/>
      <c r="AB117" s="298"/>
      <c r="AC117" s="298"/>
      <c r="AD117" s="298"/>
      <c r="AE117" s="298"/>
      <c r="AF117" s="298"/>
      <c r="AG117" s="299"/>
      <c r="AH117" s="300"/>
      <c r="AI117" s="298"/>
      <c r="AJ117" s="298"/>
      <c r="AK117" s="298"/>
      <c r="AL117" s="298"/>
      <c r="AM117" s="298"/>
      <c r="AN117" s="301"/>
      <c r="AO117" s="288"/>
      <c r="AP117" s="288"/>
      <c r="AQ117" s="123"/>
    </row>
    <row r="118" spans="1:43" ht="11.25" customHeight="1" x14ac:dyDescent="0.2">
      <c r="A118" s="302"/>
      <c r="B118" s="302"/>
      <c r="C118" s="302"/>
      <c r="D118" s="302"/>
      <c r="E118" s="302"/>
      <c r="F118" s="302"/>
      <c r="G118" s="302"/>
      <c r="H118" s="302"/>
      <c r="I118" s="302"/>
      <c r="J118" s="302"/>
      <c r="K118" s="302"/>
      <c r="L118" s="302"/>
      <c r="M118" s="298"/>
      <c r="N118" s="298"/>
      <c r="O118" s="298"/>
      <c r="P118" s="298"/>
      <c r="Q118" s="298"/>
      <c r="R118" s="298"/>
      <c r="S118" s="298"/>
      <c r="T118" s="298"/>
      <c r="U118" s="298"/>
      <c r="V118" s="298"/>
      <c r="W118" s="298"/>
      <c r="X118" s="298"/>
      <c r="Y118" s="298"/>
      <c r="Z118" s="298"/>
      <c r="AA118" s="298"/>
      <c r="AB118" s="298"/>
      <c r="AC118" s="298"/>
      <c r="AD118" s="298"/>
      <c r="AE118" s="298"/>
      <c r="AF118" s="298"/>
      <c r="AG118" s="298"/>
      <c r="AH118" s="298"/>
      <c r="AI118" s="298"/>
      <c r="AJ118" s="298"/>
      <c r="AK118" s="298"/>
      <c r="AL118" s="298"/>
      <c r="AM118" s="298"/>
      <c r="AN118" s="298"/>
      <c r="AO118" s="298"/>
      <c r="AP118" s="298"/>
      <c r="AQ118" s="123"/>
    </row>
    <row r="119" spans="1:43" ht="39" customHeight="1" x14ac:dyDescent="0.2">
      <c r="A119" s="135" t="s">
        <v>227</v>
      </c>
      <c r="B119" s="491"/>
      <c r="C119" s="491"/>
      <c r="D119" s="491"/>
      <c r="E119" s="491"/>
      <c r="F119" s="491"/>
      <c r="G119" s="491"/>
      <c r="H119" s="491"/>
      <c r="I119" s="491"/>
      <c r="J119" s="491"/>
      <c r="K119" s="491"/>
      <c r="L119" s="491"/>
      <c r="M119" s="491"/>
      <c r="N119" s="491"/>
      <c r="O119" s="491"/>
      <c r="P119" s="491"/>
      <c r="Q119" s="491"/>
      <c r="R119" s="298"/>
      <c r="S119" s="298"/>
      <c r="T119" s="298"/>
      <c r="U119" s="298"/>
      <c r="V119" s="298"/>
      <c r="W119" s="298"/>
      <c r="X119" s="298"/>
      <c r="Y119" s="492"/>
      <c r="Z119" s="492"/>
      <c r="AA119" s="492"/>
      <c r="AB119" s="492"/>
      <c r="AC119" s="492"/>
      <c r="AD119" s="492"/>
      <c r="AE119" s="492"/>
      <c r="AF119" s="492"/>
      <c r="AG119" s="494" t="str">
        <f ca="1">IF(AG67&lt;&gt;Monat.KomAZText,AG67 &amp; CHAR(10),"") &amp;
IF(AG84&lt;&gt;Monat.FerienText,AG84,"")</f>
        <v/>
      </c>
      <c r="AH119" s="494"/>
      <c r="AI119" s="494"/>
      <c r="AJ119" s="494"/>
      <c r="AK119" s="494"/>
      <c r="AL119" s="494"/>
      <c r="AM119" s="494"/>
      <c r="AN119" s="494"/>
      <c r="AO119" s="494"/>
      <c r="AP119" s="494"/>
      <c r="AQ119" s="123"/>
    </row>
    <row r="120" spans="1:43" ht="12" customHeight="1" x14ac:dyDescent="0.2">
      <c r="A120" s="442" t="s">
        <v>228</v>
      </c>
      <c r="B120" s="495"/>
      <c r="C120" s="495"/>
      <c r="D120" s="495"/>
      <c r="E120" s="495"/>
      <c r="F120" s="495"/>
      <c r="G120" s="495"/>
      <c r="H120" s="495"/>
      <c r="I120" s="495"/>
      <c r="J120" s="495"/>
      <c r="K120" s="495"/>
      <c r="L120" s="495"/>
      <c r="M120" s="495"/>
      <c r="N120" s="495"/>
      <c r="O120" s="495"/>
      <c r="P120" s="495"/>
      <c r="Q120" s="495"/>
      <c r="R120" s="298"/>
      <c r="S120" s="298"/>
      <c r="T120" s="496" t="s">
        <v>234</v>
      </c>
      <c r="U120" s="496"/>
      <c r="V120" s="496"/>
      <c r="W120" s="496"/>
      <c r="X120" s="496"/>
      <c r="Y120" s="493"/>
      <c r="Z120" s="493"/>
      <c r="AA120" s="493"/>
      <c r="AB120" s="493"/>
      <c r="AC120" s="493"/>
      <c r="AD120" s="493"/>
      <c r="AE120" s="493"/>
      <c r="AF120" s="493"/>
      <c r="AG120" s="494"/>
      <c r="AH120" s="494"/>
      <c r="AI120" s="494"/>
      <c r="AJ120" s="494"/>
      <c r="AK120" s="494"/>
      <c r="AL120" s="494"/>
      <c r="AM120" s="494"/>
      <c r="AN120" s="494"/>
      <c r="AO120" s="494"/>
      <c r="AP120" s="494"/>
      <c r="AQ120" s="123"/>
    </row>
    <row r="121" spans="1:43" ht="11.25" customHeight="1" x14ac:dyDescent="0.2">
      <c r="A121" s="304"/>
      <c r="B121" s="305"/>
      <c r="C121" s="305"/>
      <c r="D121" s="305"/>
      <c r="E121" s="305"/>
      <c r="F121" s="305"/>
      <c r="G121" s="305"/>
      <c r="H121" s="305"/>
      <c r="I121" s="305"/>
      <c r="J121" s="305"/>
      <c r="K121" s="305"/>
      <c r="L121" s="305"/>
      <c r="M121" s="293"/>
      <c r="N121" s="293"/>
      <c r="O121" s="293"/>
      <c r="P121" s="293"/>
      <c r="Q121" s="293"/>
      <c r="R121" s="293"/>
      <c r="S121" s="298"/>
      <c r="T121" s="293"/>
      <c r="U121" s="293"/>
      <c r="V121" s="293"/>
      <c r="W121" s="293"/>
      <c r="X121" s="293"/>
      <c r="Y121" s="293"/>
      <c r="Z121" s="293"/>
      <c r="AA121" s="293"/>
      <c r="AB121" s="293"/>
      <c r="AC121" s="293"/>
      <c r="AD121" s="293"/>
      <c r="AE121" s="293"/>
      <c r="AF121" s="293"/>
      <c r="AG121" s="295"/>
      <c r="AH121" s="296"/>
      <c r="AI121" s="123"/>
      <c r="AJ121" s="123"/>
      <c r="AK121" s="123"/>
      <c r="AL121" s="123"/>
      <c r="AM121" s="123"/>
      <c r="AN121" s="297"/>
      <c r="AO121" s="123"/>
      <c r="AP121" s="123"/>
      <c r="AQ121" s="123"/>
    </row>
    <row r="122" spans="1:43" ht="12" customHeight="1" x14ac:dyDescent="0.2">
      <c r="A122" s="123"/>
      <c r="B122" s="482" t="s">
        <v>91</v>
      </c>
      <c r="C122" s="482"/>
      <c r="D122" s="482"/>
      <c r="E122" s="482"/>
      <c r="F122" s="482"/>
      <c r="G122" s="482"/>
      <c r="H122" s="482"/>
      <c r="I122" s="482"/>
      <c r="J122" s="482"/>
      <c r="K122" s="482"/>
      <c r="L122" s="482"/>
      <c r="M122" s="482"/>
      <c r="N122" s="482"/>
      <c r="O122" s="482"/>
      <c r="P122" s="482"/>
      <c r="Q122" s="482"/>
      <c r="R122" s="293"/>
      <c r="S122" s="293"/>
      <c r="T122" s="293"/>
      <c r="U122" s="293"/>
      <c r="V122" s="293"/>
      <c r="W122" s="293"/>
      <c r="X122" s="293"/>
      <c r="Y122" s="293"/>
      <c r="Z122" s="293"/>
      <c r="AA122" s="293"/>
      <c r="AB122" s="293"/>
      <c r="AC122" s="293"/>
      <c r="AD122" s="293"/>
      <c r="AE122" s="293"/>
      <c r="AF122" s="293"/>
      <c r="AG122" s="295"/>
      <c r="AH122" s="296"/>
      <c r="AI122" s="123"/>
      <c r="AJ122" s="123"/>
      <c r="AK122" s="123"/>
      <c r="AL122" s="123"/>
      <c r="AM122" s="123"/>
      <c r="AN122" s="297"/>
      <c r="AO122" s="123"/>
      <c r="AP122" s="123"/>
      <c r="AQ122" s="123"/>
    </row>
    <row r="123" spans="1:43" ht="11.25" customHeight="1" x14ac:dyDescent="0.2">
      <c r="A123" s="123"/>
      <c r="B123" s="293"/>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293"/>
      <c r="Z123" s="293"/>
      <c r="AA123" s="293"/>
      <c r="AB123" s="293"/>
      <c r="AC123" s="293"/>
      <c r="AD123" s="293"/>
      <c r="AE123" s="293"/>
      <c r="AF123" s="293"/>
      <c r="AG123" s="295"/>
      <c r="AH123" s="296"/>
      <c r="AI123" s="123"/>
      <c r="AJ123" s="123"/>
      <c r="AK123" s="123"/>
      <c r="AL123" s="123"/>
      <c r="AM123" s="123"/>
      <c r="AN123" s="297"/>
      <c r="AO123" s="123"/>
      <c r="AP123" s="123"/>
      <c r="AQ123" s="123"/>
    </row>
    <row r="124" spans="1:43" ht="11.25" customHeight="1" x14ac:dyDescent="0.2">
      <c r="A124" s="298"/>
      <c r="B124" s="298"/>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c r="AA124" s="298"/>
      <c r="AB124" s="298"/>
      <c r="AC124" s="298"/>
      <c r="AD124" s="298"/>
      <c r="AE124" s="298"/>
      <c r="AF124" s="298"/>
      <c r="AG124" s="298"/>
      <c r="AH124" s="298"/>
      <c r="AI124" s="298"/>
      <c r="AJ124" s="298"/>
      <c r="AK124" s="298"/>
      <c r="AL124" s="298"/>
      <c r="AM124" s="298"/>
      <c r="AN124" s="298"/>
      <c r="AO124" s="298"/>
      <c r="AP124" s="298"/>
      <c r="AQ124" s="123"/>
    </row>
    <row r="125" spans="1:43" x14ac:dyDescent="0.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row>
    <row r="126" spans="1:43"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row>
    <row r="127" spans="1:43"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row>
    <row r="128" spans="1:43" x14ac:dyDescent="0.2">
      <c r="AG128" s="50"/>
      <c r="AH128" s="50"/>
      <c r="AN128" s="50"/>
    </row>
    <row r="129" spans="33:40" x14ac:dyDescent="0.2">
      <c r="AG129" s="50"/>
      <c r="AH129" s="50"/>
      <c r="AN129" s="50"/>
    </row>
    <row r="130" spans="33:40" x14ac:dyDescent="0.2">
      <c r="AG130" s="50"/>
      <c r="AH130" s="50"/>
      <c r="AN130" s="50"/>
    </row>
    <row r="131" spans="33:40" x14ac:dyDescent="0.2">
      <c r="AG131" s="50"/>
      <c r="AH131" s="50"/>
      <c r="AN131" s="50"/>
    </row>
    <row r="132" spans="33:40" x14ac:dyDescent="0.2">
      <c r="AG132" s="50"/>
      <c r="AH132" s="50"/>
      <c r="AN132" s="50"/>
    </row>
    <row r="133" spans="33:40" x14ac:dyDescent="0.2">
      <c r="AG133" s="50"/>
      <c r="AH133" s="50"/>
      <c r="AN133" s="50"/>
    </row>
    <row r="134" spans="33:40" x14ac:dyDescent="0.2">
      <c r="AG134" s="50"/>
      <c r="AH134" s="50"/>
      <c r="AN134" s="50"/>
    </row>
    <row r="135" spans="33:40" x14ac:dyDescent="0.2">
      <c r="AG135" s="50"/>
      <c r="AH135" s="50"/>
      <c r="AN135" s="50"/>
    </row>
    <row r="136" spans="33:40" x14ac:dyDescent="0.2">
      <c r="AG136" s="50"/>
      <c r="AH136" s="50"/>
      <c r="AN136" s="50"/>
    </row>
    <row r="137" spans="33:40" x14ac:dyDescent="0.2">
      <c r="AG137" s="50"/>
      <c r="AH137" s="50"/>
      <c r="AN137" s="50"/>
    </row>
    <row r="138" spans="33:40" x14ac:dyDescent="0.2">
      <c r="AG138" s="50"/>
      <c r="AH138" s="50"/>
      <c r="AN138" s="50"/>
    </row>
    <row r="139" spans="33:40" x14ac:dyDescent="0.2">
      <c r="AG139" s="50"/>
      <c r="AH139" s="50"/>
      <c r="AN139" s="50"/>
    </row>
    <row r="140" spans="33:40" x14ac:dyDescent="0.2">
      <c r="AG140" s="50"/>
      <c r="AH140" s="50"/>
      <c r="AN140" s="50"/>
    </row>
  </sheetData>
  <sheetProtection sheet="1" objects="1" scenarios="1"/>
  <mergeCells count="26">
    <mergeCell ref="B6:E6"/>
    <mergeCell ref="F6:N6"/>
    <mergeCell ref="B1:L1"/>
    <mergeCell ref="AO1:AP1"/>
    <mergeCell ref="B2:E2"/>
    <mergeCell ref="F2:N2"/>
    <mergeCell ref="P2:U2"/>
    <mergeCell ref="B3:E3"/>
    <mergeCell ref="F3:N3"/>
    <mergeCell ref="P3:U3"/>
    <mergeCell ref="B4:E4"/>
    <mergeCell ref="F4:N4"/>
    <mergeCell ref="P4:U4"/>
    <mergeCell ref="B5:E5"/>
    <mergeCell ref="F5:N5"/>
    <mergeCell ref="B122:Q122"/>
    <mergeCell ref="B7:E7"/>
    <mergeCell ref="F7:N7"/>
    <mergeCell ref="AH10:AI10"/>
    <mergeCell ref="AO10:AP10"/>
    <mergeCell ref="B117:Q117"/>
    <mergeCell ref="B119:Q119"/>
    <mergeCell ref="Y119:AF120"/>
    <mergeCell ref="AG119:AP120"/>
    <mergeCell ref="B120:Q120"/>
    <mergeCell ref="T120:X120"/>
  </mergeCells>
  <conditionalFormatting sqref="B114:AF114 AI114">
    <cfRule type="expression" dxfId="252" priority="13">
      <formula>ABS(B$114)&gt;=ROUND(1/24/60,9)</formula>
    </cfRule>
  </conditionalFormatting>
  <conditionalFormatting sqref="B13:AF22 B34:AF44 B25:AF30 B60:AF61 B67:AF67 B71:AF72 B84:AF84 B86:AF95 B97:AF111">
    <cfRule type="expression" dxfId="251" priority="11">
      <formula>WEEKDAY(B$10,2)&gt;5</formula>
    </cfRule>
    <cfRule type="expression" dxfId="250" priority="12">
      <formula>AND(NOT(ISERROR(MATCH(B$10,T.Feiertage.Bereich,0))),OFFSET(T.Feiertage.Bereich,MATCH(B$10,T.Feiertage.Bereich,0)-1,1,1,1)&gt;0)</formula>
    </cfRule>
    <cfRule type="expression" dxfId="249" priority="14">
      <formula>B$11=0</formula>
    </cfRule>
  </conditionalFormatting>
  <conditionalFormatting sqref="AN60:AO60">
    <cfRule type="expression" dxfId="248" priority="19">
      <formula>AND(T.50_Vetsuisse,AN60&gt;=T.GrenzeAngÜZ50_Vetsuisse)</formula>
    </cfRule>
    <cfRule type="expression" dxfId="247" priority="20">
      <formula>AND(T.50_Vetsuisse,AN60&gt;T.GrenzeAngÜZ50_Vetsuisse*T.AngÜZ50_Vetsuisse_orange)</formula>
    </cfRule>
  </conditionalFormatting>
  <conditionalFormatting sqref="B56:AF56">
    <cfRule type="expression" dxfId="246" priority="5">
      <formula>AND(B$10&gt;TODAY(),EB.UJAustritt="")</formula>
    </cfRule>
    <cfRule type="expression" dxfId="245" priority="6">
      <formula>B$56&gt;99.99/24</formula>
    </cfRule>
    <cfRule type="expression" dxfId="244" priority="8">
      <formula>B$56&lt;99.99/24*-1</formula>
    </cfRule>
  </conditionalFormatting>
  <conditionalFormatting sqref="AO55:AP55">
    <cfRule type="cellIs" dxfId="243" priority="21" operator="greaterThan">
      <formula>1/24/60</formula>
    </cfRule>
    <cfRule type="expression" dxfId="242" priority="22">
      <formula>AND(AO55&lt;=1/24/60*-1,TODAY()&gt;=DATE(EB.Jahr,MONTH(12),DAY(31)))</formula>
    </cfRule>
  </conditionalFormatting>
  <conditionalFormatting sqref="B56:AF56 AI58">
    <cfRule type="expression" dxfId="241" priority="7">
      <formula>B$56&gt;1/24/60</formula>
    </cfRule>
    <cfRule type="expression" dxfId="240" priority="9">
      <formula>AND(B$56&lt;=1/24/60*-1,B$56)</formula>
    </cfRule>
  </conditionalFormatting>
  <conditionalFormatting sqref="B14:AF22 B36:AF44 B26:AF30">
    <cfRule type="expression" dxfId="239" priority="3">
      <formula>AND(B14&lt;B13,B14&lt;&gt;"")</formula>
    </cfRule>
  </conditionalFormatting>
  <conditionalFormatting sqref="B72:AF73">
    <cfRule type="expression" dxfId="238" priority="10">
      <formula>AND(T.50_Vetsuisse,OR(AND(B$72&lt;&gt;INDEX(T.JaNein.Bereich,1,1),B$72&lt;&gt;INDEX(T.JaNein.Bereich,2,1),B$73&lt;&gt;0,MOD(IFERROR(MATCH(1,B$13:B$22,0),1),2)=0),AND(B$72=INDEX(T.JaNein.Bereich,1,1),OR(B$73=0,MOD(IFERROR(MATCH(1,B$13:B$22,0),1),2)&lt;&gt;0))))</formula>
    </cfRule>
  </conditionalFormatting>
  <conditionalFormatting sqref="P4:U4">
    <cfRule type="expression" dxfId="237" priority="15">
      <formula>$P$4&lt;&gt;""</formula>
    </cfRule>
  </conditionalFormatting>
  <conditionalFormatting sqref="V4">
    <cfRule type="expression" dxfId="236" priority="16">
      <formula>$V$4&lt;&gt;""</formula>
    </cfRule>
  </conditionalFormatting>
  <conditionalFormatting sqref="AP60">
    <cfRule type="expression" dxfId="235" priority="23">
      <formula>AND(T.50_Vetsuisse,AP60&gt;=T.GrenzeAngÜZ50_Vetsuisse)</formula>
    </cfRule>
    <cfRule type="expression" dxfId="234" priority="24">
      <formula>AND(T.50_Vetsuisse,AP60&gt;T.GrenzeAngÜZ50_Vetsuisse*T.AngÜZ50_Vetsuisse_orange)</formula>
    </cfRule>
  </conditionalFormatting>
  <conditionalFormatting sqref="AJ72:AJ73">
    <cfRule type="expression" dxfId="233" priority="17">
      <formula>AND(T.50_Vetsuisse,$AJ$72&lt;&gt;$AJ$73)</formula>
    </cfRule>
    <cfRule type="expression" dxfId="232" priority="18">
      <formula>$AJ$72&gt;$AJ$73</formula>
    </cfRule>
  </conditionalFormatting>
  <conditionalFormatting sqref="B55:AF55">
    <cfRule type="expression" dxfId="231" priority="4">
      <formula>AND(B$10&lt;=TODAY(),B$55&lt;1/24/60*-1)</formula>
    </cfRule>
  </conditionalFormatting>
  <conditionalFormatting sqref="AG67 AG84">
    <cfRule type="expression" dxfId="230" priority="2">
      <formula>AG67&lt;&gt;A67</formula>
    </cfRule>
  </conditionalFormatting>
  <conditionalFormatting sqref="B67:AF67">
    <cfRule type="expression" dxfId="229" priority="1">
      <formula>AND(B66=0,B67&gt;0)</formula>
    </cfRule>
  </conditionalFormatting>
  <dataValidations count="2">
    <dataValidation type="list" allowBlank="1" showInputMessage="1" showErrorMessage="1" errorTitle="Start pl. night shift" error="Please choose a value from the drop-down list." sqref="B72:AF72" xr:uid="{C4E661C5-9300-428F-8A0B-1CD887E432A5}">
      <formula1>T.JaNein.Bereich</formula1>
    </dataValidation>
    <dataValidation type="list" allowBlank="1" showInputMessage="1" showErrorMessage="1" errorTitle="Pikett Bereitschaft" error="Bitte wählen Sie einen Wert aus der Liste." sqref="B34:AF34" xr:uid="{D1ECEC18-F48B-43B5-A20E-6466EE03A8C1}">
      <formula1>T.Pikett.Bereich</formula1>
    </dataValidation>
  </dataValidations>
  <printOptions horizontalCentered="1"/>
  <pageMargins left="0.19685039370078741" right="0.19685039370078741" top="0.39370078740157483" bottom="0.39370078740157483" header="0.31496062992125984" footer="0.19685039370078741"/>
  <pageSetup paperSize="9" scale="30" orientation="landscape" horizontalDpi="4294967292" verticalDpi="4294967292" r:id="rId1"/>
  <headerFooter alignWithMargins="0">
    <oddFooter>&amp;L&amp;"Arial,Standard"&amp;11Monatsabrechnung &amp;A&amp;C&amp;"Arial,Standard"&amp;11&amp;D&amp;R&amp;"Arial,Standard"&amp;11&amp;P /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A758B-47B2-4D84-8F3D-78A8D278500B}">
  <sheetPr>
    <pageSetUpPr fitToPage="1"/>
  </sheetPr>
  <dimension ref="A1:AP140"/>
  <sheetViews>
    <sheetView showGridLines="0" zoomScale="85" zoomScaleNormal="85" zoomScalePageLayoutView="85" workbookViewId="0">
      <pane xSplit="1" ySplit="10" topLeftCell="B11" activePane="bottomRight" state="frozenSplit"/>
      <selection activeCell="Q8" sqref="Q8:AF11"/>
      <selection pane="topRight" activeCell="Q8" sqref="Q8:AF11"/>
      <selection pane="bottomLeft" activeCell="Q8" sqref="Q8:AF11"/>
      <selection pane="bottomRight" activeCell="B13" sqref="B13"/>
    </sheetView>
  </sheetViews>
  <sheetFormatPr baseColWidth="10" defaultColWidth="10.75" defaultRowHeight="12.75" outlineLevelRow="1" outlineLevelCol="1" x14ac:dyDescent="0.2"/>
  <cols>
    <col min="1" max="1" width="24.5" style="50" customWidth="1"/>
    <col min="2" max="31" width="5.75" style="50" customWidth="1"/>
    <col min="32" max="32" width="24.5" style="52" customWidth="1"/>
    <col min="33" max="33" width="2.125" style="53" customWidth="1"/>
    <col min="34" max="35" width="8.125" style="50" customWidth="1"/>
    <col min="36" max="36" width="15.875" style="50" hidden="1" customWidth="1" outlineLevel="1"/>
    <col min="37" max="38" width="14.25" style="50" hidden="1" customWidth="1" outlineLevel="1"/>
    <col min="39" max="39" width="9.375" style="37" customWidth="1" collapsed="1"/>
    <col min="40" max="41" width="8.125" style="50" customWidth="1"/>
    <col min="42" max="42" width="3.75" style="50" customWidth="1"/>
    <col min="43" max="16384" width="10.75" style="50"/>
  </cols>
  <sheetData>
    <row r="1" spans="1:42" s="54" customFormat="1" ht="22.5" customHeight="1" x14ac:dyDescent="0.2">
      <c r="A1" s="181" t="str">
        <f>INDEX(EB.Monate.Bereich,MONTH(Monat.Tag1)) &amp; " " &amp; EB.Jahr</f>
        <v>April 2020</v>
      </c>
      <c r="B1" s="470" t="str">
        <f>Eingabeblatt!B1</f>
        <v>Employee Time Sheet</v>
      </c>
      <c r="C1" s="470"/>
      <c r="D1" s="470"/>
      <c r="E1" s="470"/>
      <c r="F1" s="470"/>
      <c r="G1" s="470"/>
      <c r="H1" s="470"/>
      <c r="I1" s="470"/>
      <c r="J1" s="470"/>
      <c r="K1" s="470"/>
      <c r="L1" s="470"/>
      <c r="M1" s="101"/>
      <c r="N1" s="101"/>
      <c r="O1" s="101"/>
      <c r="P1" s="101"/>
      <c r="Q1" s="101"/>
      <c r="R1" s="182"/>
      <c r="S1" s="101"/>
      <c r="T1" s="101"/>
      <c r="U1" s="101"/>
      <c r="V1" s="183"/>
      <c r="W1" s="183"/>
      <c r="X1" s="101"/>
      <c r="Y1" s="182"/>
      <c r="Z1" s="101"/>
      <c r="AA1" s="101"/>
      <c r="AB1" s="101"/>
      <c r="AC1" s="101"/>
      <c r="AD1" s="101"/>
      <c r="AE1" s="101"/>
      <c r="AF1" s="184"/>
      <c r="AG1" s="185"/>
      <c r="AH1" s="101"/>
      <c r="AI1" s="101"/>
      <c r="AJ1" s="101"/>
      <c r="AK1" s="101"/>
      <c r="AL1" s="101"/>
      <c r="AM1" s="440"/>
      <c r="AN1" s="498" t="str">
        <f>EB.Version</f>
        <v>Version 12.19</v>
      </c>
      <c r="AO1" s="498"/>
      <c r="AP1" s="103" t="str">
        <f>EB.Sprache</f>
        <v>EN</v>
      </c>
    </row>
    <row r="2" spans="1:42" s="38" customFormat="1" ht="15" customHeight="1" x14ac:dyDescent="0.2">
      <c r="A2" s="135"/>
      <c r="B2" s="461" t="str">
        <f>Eingabeblatt!A3</f>
        <v>Name</v>
      </c>
      <c r="C2" s="474"/>
      <c r="D2" s="474"/>
      <c r="E2" s="462"/>
      <c r="F2" s="499" t="str">
        <f>IF(EB.Name="","?",EB.Name)</f>
        <v>?</v>
      </c>
      <c r="G2" s="500"/>
      <c r="H2" s="500"/>
      <c r="I2" s="500"/>
      <c r="J2" s="500"/>
      <c r="K2" s="500"/>
      <c r="L2" s="500"/>
      <c r="M2" s="500"/>
      <c r="N2" s="501"/>
      <c r="O2" s="186"/>
      <c r="P2" s="461" t="str">
        <f>Eingabeblatt!J7</f>
        <v>Employment Level (FTE) in %</v>
      </c>
      <c r="Q2" s="474"/>
      <c r="R2" s="474"/>
      <c r="S2" s="474"/>
      <c r="T2" s="474"/>
      <c r="U2" s="462"/>
      <c r="V2" s="14">
        <f>IF(INDEX(EB.EffBG.Bereich,MONTH(Monat.Tag1))="","-     ",INDEX(EB.EffBG.Bereich,MONTH(Monat.Tag1)))</f>
        <v>100</v>
      </c>
      <c r="W2" s="187"/>
      <c r="X2" s="187"/>
      <c r="Y2" s="108"/>
      <c r="Z2" s="119"/>
      <c r="AA2" s="119"/>
      <c r="AB2" s="119"/>
      <c r="AC2" s="119"/>
      <c r="AD2" s="119"/>
      <c r="AE2" s="119"/>
      <c r="AF2" s="106"/>
      <c r="AG2" s="188"/>
      <c r="AH2" s="119"/>
      <c r="AI2" s="119"/>
      <c r="AJ2" s="119"/>
      <c r="AK2" s="119"/>
      <c r="AL2" s="119"/>
      <c r="AM2" s="189"/>
      <c r="AN2" s="119"/>
      <c r="AO2" s="119"/>
      <c r="AP2" s="119"/>
    </row>
    <row r="3" spans="1:42" s="38" customFormat="1" ht="15" customHeight="1" x14ac:dyDescent="0.2">
      <c r="A3" s="190"/>
      <c r="B3" s="461" t="str">
        <f>Eingabeblatt!H2</f>
        <v>Function</v>
      </c>
      <c r="C3" s="474"/>
      <c r="D3" s="474"/>
      <c r="E3" s="462"/>
      <c r="F3" s="483" t="str">
        <f>EB.Funktion</f>
        <v>Description of Function</v>
      </c>
      <c r="G3" s="484"/>
      <c r="H3" s="484"/>
      <c r="I3" s="484"/>
      <c r="J3" s="484"/>
      <c r="K3" s="484"/>
      <c r="L3" s="484"/>
      <c r="M3" s="484"/>
      <c r="N3" s="485"/>
      <c r="O3" s="106"/>
      <c r="P3" s="461" t="str">
        <f>Eingabeblatt!J12</f>
        <v>ø Hours per day at FTE</v>
      </c>
      <c r="Q3" s="474"/>
      <c r="R3" s="474"/>
      <c r="S3" s="474"/>
      <c r="T3" s="474"/>
      <c r="U3" s="462"/>
      <c r="V3" s="57">
        <f>IF(INDEX(EB.DurchSollTAZStd.Bereich,MONTH(Monat.Tag1))="","-     ",INDEX(EB.DurchSollTAZStd.Bereich,MONTH(Monat.Tag1)))</f>
        <v>0.35</v>
      </c>
      <c r="W3" s="191"/>
      <c r="X3" s="191"/>
      <c r="Y3" s="119"/>
      <c r="Z3" s="119"/>
      <c r="AA3" s="119"/>
      <c r="AB3" s="119"/>
      <c r="AC3" s="119"/>
      <c r="AD3" s="119"/>
      <c r="AE3" s="119"/>
      <c r="AF3" s="106"/>
      <c r="AG3" s="188"/>
      <c r="AH3" s="119"/>
      <c r="AI3" s="119"/>
      <c r="AJ3" s="119"/>
      <c r="AK3" s="119"/>
      <c r="AL3" s="119"/>
      <c r="AM3" s="189"/>
      <c r="AN3" s="119"/>
      <c r="AO3" s="119"/>
      <c r="AP3" s="119"/>
    </row>
    <row r="4" spans="1:42" s="38" customFormat="1" ht="15" customHeight="1" x14ac:dyDescent="0.2">
      <c r="A4" s="190"/>
      <c r="B4" s="461" t="str">
        <f>Eingabeblatt!H3</f>
        <v>Institute/Department</v>
      </c>
      <c r="C4" s="474"/>
      <c r="D4" s="474"/>
      <c r="E4" s="462"/>
      <c r="F4" s="483" t="str">
        <f>EB.Institut</f>
        <v>Institute/Department Name</v>
      </c>
      <c r="G4" s="484"/>
      <c r="H4" s="484"/>
      <c r="I4" s="484"/>
      <c r="J4" s="484"/>
      <c r="K4" s="484"/>
      <c r="L4" s="484"/>
      <c r="M4" s="484"/>
      <c r="N4" s="485"/>
      <c r="O4" s="106"/>
      <c r="P4" s="497" t="str">
        <f ca="1">IF(EB.ÜZZSBerechtigt=INDEX(T.JaNein.Bereich,1,1),IF(AND(OR(AND(EB.LKgr16=INDEX(T.JaNein.Bereich,1,1),EB.LKgr16ab&gt;EOMONTH(Monat.Tag1,0)),EB.LKgr16&lt;&gt;INDEX(T.JaNein.Bereich,1,1)),Monat.AZSoll.Total&gt;0),Eingabeblatt!J6,""),"")</f>
        <v/>
      </c>
      <c r="Q4" s="497"/>
      <c r="R4" s="497"/>
      <c r="S4" s="497"/>
      <c r="T4" s="497"/>
      <c r="U4" s="497"/>
      <c r="V4" s="192" t="str">
        <f ca="1">IF(P4&lt;&gt;"",EB.ÜZZSBerechtigt,"")</f>
        <v/>
      </c>
      <c r="W4" s="119"/>
      <c r="X4" s="119"/>
      <c r="Y4" s="119"/>
      <c r="Z4" s="119"/>
      <c r="AA4" s="119"/>
      <c r="AB4" s="119"/>
      <c r="AC4" s="119"/>
      <c r="AD4" s="119"/>
      <c r="AE4" s="119"/>
      <c r="AF4" s="106"/>
      <c r="AG4" s="188"/>
      <c r="AH4" s="119"/>
      <c r="AI4" s="119"/>
      <c r="AJ4" s="119"/>
      <c r="AK4" s="119"/>
      <c r="AL4" s="119"/>
      <c r="AM4" s="189"/>
      <c r="AN4" s="119"/>
      <c r="AO4" s="119"/>
      <c r="AP4" s="119"/>
    </row>
    <row r="5" spans="1:42" s="38" customFormat="1" ht="15" customHeight="1" x14ac:dyDescent="0.2">
      <c r="A5" s="190"/>
      <c r="B5" s="461" t="str">
        <f>Eingabeblatt!A5</f>
        <v>Employee Number</v>
      </c>
      <c r="C5" s="474"/>
      <c r="D5" s="474"/>
      <c r="E5" s="462"/>
      <c r="F5" s="483" t="str">
        <f>IF(EB.Personalnummer="","?",EB.Personalnummer)</f>
        <v>?</v>
      </c>
      <c r="G5" s="484"/>
      <c r="H5" s="484"/>
      <c r="I5" s="484"/>
      <c r="J5" s="484"/>
      <c r="K5" s="484"/>
      <c r="L5" s="484"/>
      <c r="M5" s="484"/>
      <c r="N5" s="485"/>
      <c r="O5" s="106"/>
      <c r="P5" s="110" t="str">
        <f>LEFT(Eingabeblatt!A38,SEARCH("(",Eingabeblatt!A38,1)-2) &amp; IF(MONTH(Monat.Tag1)&gt;1,IF(EB.Sprache="EN"," (changes as of "," (Veränderungen ab ") &amp; INDEX(EB.Monate.Bereich,MONTH(Monat.Tag1))  &amp; IF(EB.Sprache="EN"," have to be entered here)"," hier eintragen)"),"")</f>
        <v>Standard working hours (changes as of April have to be entered here)</v>
      </c>
      <c r="Q5" s="106"/>
      <c r="R5" s="119"/>
      <c r="S5" s="119"/>
      <c r="T5" s="119"/>
      <c r="U5" s="119"/>
      <c r="V5" s="119"/>
      <c r="W5" s="119"/>
      <c r="X5" s="119"/>
      <c r="Y5" s="119"/>
      <c r="Z5" s="119"/>
      <c r="AA5" s="119"/>
      <c r="AB5" s="119"/>
      <c r="AC5" s="119"/>
      <c r="AD5" s="119"/>
      <c r="AE5" s="119"/>
      <c r="AF5" s="106"/>
      <c r="AG5" s="188"/>
      <c r="AH5" s="119"/>
      <c r="AI5" s="119"/>
      <c r="AJ5" s="119"/>
      <c r="AK5" s="119"/>
      <c r="AL5" s="119"/>
      <c r="AM5" s="189"/>
      <c r="AN5" s="119"/>
      <c r="AO5" s="119"/>
      <c r="AP5" s="119"/>
    </row>
    <row r="6" spans="1:42" s="38" customFormat="1" ht="15" customHeight="1" x14ac:dyDescent="0.2">
      <c r="A6" s="190"/>
      <c r="B6" s="461" t="str">
        <f>Eingabeblatt!H4</f>
        <v>Faculty</v>
      </c>
      <c r="C6" s="474"/>
      <c r="D6" s="474"/>
      <c r="E6" s="462"/>
      <c r="F6" s="483" t="str">
        <f>EB.Fakultaet</f>
        <v>Select Faculty</v>
      </c>
      <c r="G6" s="484"/>
      <c r="H6" s="484"/>
      <c r="I6" s="484"/>
      <c r="J6" s="484"/>
      <c r="K6" s="484"/>
      <c r="L6" s="484"/>
      <c r="M6" s="484"/>
      <c r="N6" s="485"/>
      <c r="O6" s="106"/>
      <c r="P6" s="193" t="str">
        <f>LEFT(INDEX(EB.RAZ_Wochentage.Bereich,1),2)</f>
        <v>Mo</v>
      </c>
      <c r="Q6" s="193" t="str">
        <f>LEFT(INDEX(EB.RAZ_Wochentage.Bereich,2),2)</f>
        <v>Tu</v>
      </c>
      <c r="R6" s="193" t="str">
        <f>LEFT(INDEX(EB.RAZ_Wochentage.Bereich,3),2)</f>
        <v>We</v>
      </c>
      <c r="S6" s="193" t="str">
        <f>LEFT(INDEX(EB.RAZ_Wochentage.Bereich,4),2)</f>
        <v>Th</v>
      </c>
      <c r="T6" s="193" t="str">
        <f>LEFT(INDEX(EB.RAZ_Wochentage.Bereich,5),2)</f>
        <v>Fr</v>
      </c>
      <c r="U6" s="193" t="str">
        <f>LEFT(INDEX(EB.RAZ_Wochentage.Bereich,6),2)</f>
        <v>Sa</v>
      </c>
      <c r="V6" s="193" t="str">
        <f>LEFT(INDEX(EB.RAZ_Wochentage.Bereich,7),2)</f>
        <v>Su</v>
      </c>
      <c r="W6" s="119"/>
      <c r="X6" s="119"/>
      <c r="Y6" s="119"/>
      <c r="Z6" s="119"/>
      <c r="AA6" s="119"/>
      <c r="AB6" s="119"/>
      <c r="AC6" s="119"/>
      <c r="AD6" s="119"/>
      <c r="AE6" s="119"/>
      <c r="AF6" s="106"/>
      <c r="AG6" s="188"/>
      <c r="AH6" s="119"/>
      <c r="AI6" s="119"/>
      <c r="AJ6" s="119"/>
      <c r="AK6" s="119"/>
      <c r="AL6" s="119"/>
      <c r="AM6" s="189"/>
      <c r="AN6" s="119"/>
      <c r="AO6" s="119"/>
      <c r="AP6" s="119"/>
    </row>
    <row r="7" spans="1:42" s="38" customFormat="1" ht="15" customHeight="1" x14ac:dyDescent="0.2">
      <c r="A7" s="190"/>
      <c r="B7" s="461" t="str">
        <f>Eingabeblatt!H5</f>
        <v>Employee Category</v>
      </c>
      <c r="C7" s="474"/>
      <c r="D7" s="474"/>
      <c r="E7" s="462"/>
      <c r="F7" s="483" t="str">
        <f>EB.Personalkategorie</f>
        <v>Select Employee Category</v>
      </c>
      <c r="G7" s="484"/>
      <c r="H7" s="484"/>
      <c r="I7" s="484"/>
      <c r="J7" s="484"/>
      <c r="K7" s="484"/>
      <c r="L7" s="484"/>
      <c r="M7" s="484"/>
      <c r="N7" s="485"/>
      <c r="O7" s="106"/>
      <c r="P7" s="194">
        <f ca="1">IF(EB.Anwendung&lt;&gt;"",IF(MONTH(Monat.Tag1)=1,INDEX(EB.RAZ1_7.Bereich,1),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1)),"")</f>
        <v>0.35</v>
      </c>
      <c r="Q7" s="194">
        <f ca="1">IF(EB.Anwendung&lt;&gt;"",IF(MONTH(Monat.Tag1)=1,INDEX(EB.RAZ1_7.Bereich,2),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2)),"")</f>
        <v>0.35</v>
      </c>
      <c r="R7" s="194">
        <f ca="1">IF(EB.Anwendung&lt;&gt;"",IF(MONTH(Monat.Tag1)=1,INDEX(EB.RAZ1_7.Bereich,3),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3)),"")</f>
        <v>0.35</v>
      </c>
      <c r="S7" s="194">
        <f ca="1">IF(EB.Anwendung&lt;&gt;"",IF(MONTH(Monat.Tag1)=1,INDEX(EB.RAZ1_7.Bereich,4),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4)),"")</f>
        <v>0.35</v>
      </c>
      <c r="T7" s="194">
        <f ca="1">IF(EB.Anwendung&lt;&gt;"",IF(MONTH(Monat.Tag1)=1,INDEX(EB.RAZ1_7.Bereich,5),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5)),"")</f>
        <v>0.35</v>
      </c>
      <c r="U7" s="194">
        <f ca="1">IF(EB.Anwendung&lt;&gt;"",IF(MONTH(Monat.Tag1)=1,INDEX(EB.RAZ1_7.Bereich,6),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6)),"")</f>
        <v>0</v>
      </c>
      <c r="V7" s="194">
        <f ca="1">IF(EB.Anwendung&lt;&gt;"",IF(MONTH(Monat.Tag1)=1,INDEX(EB.RAZ1_7.Bereich,7),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7)),"")</f>
        <v>0</v>
      </c>
      <c r="W7" s="354">
        <f ca="1">SUM(Monat.RAZ1_7.Bereich)</f>
        <v>1.75</v>
      </c>
      <c r="X7" s="119"/>
      <c r="Y7" s="119"/>
      <c r="Z7" s="119"/>
      <c r="AA7" s="119"/>
      <c r="AB7" s="119"/>
      <c r="AC7" s="119"/>
      <c r="AD7" s="119"/>
      <c r="AE7" s="119"/>
      <c r="AF7" s="106"/>
      <c r="AG7" s="188"/>
      <c r="AH7" s="119"/>
      <c r="AI7" s="119"/>
      <c r="AJ7" s="119"/>
      <c r="AK7" s="119"/>
      <c r="AL7" s="119"/>
      <c r="AM7" s="189"/>
      <c r="AN7" s="119"/>
      <c r="AO7" s="119"/>
      <c r="AP7" s="119"/>
    </row>
    <row r="8" spans="1:42" s="38" customFormat="1" ht="11.25" customHeight="1" x14ac:dyDescent="0.2">
      <c r="A8" s="135"/>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06"/>
      <c r="AG8" s="188"/>
      <c r="AH8" s="119"/>
      <c r="AI8" s="119"/>
      <c r="AJ8" s="119"/>
      <c r="AK8" s="119"/>
      <c r="AL8" s="119"/>
      <c r="AM8" s="189"/>
      <c r="AN8" s="119"/>
      <c r="AO8" s="119"/>
      <c r="AP8" s="119"/>
    </row>
    <row r="9" spans="1:42" s="38" customFormat="1" ht="15" customHeight="1" x14ac:dyDescent="0.2">
      <c r="A9" s="135"/>
      <c r="B9" s="195" t="str">
        <f t="shared" ref="B9:AE9" si="0">INDEX(Monat.Wochentage.Bereich,1,WEEKDAY(B10,2))</f>
        <v>We</v>
      </c>
      <c r="C9" s="195" t="str">
        <f t="shared" si="0"/>
        <v>Th</v>
      </c>
      <c r="D9" s="195" t="str">
        <f t="shared" si="0"/>
        <v>Fr</v>
      </c>
      <c r="E9" s="195" t="str">
        <f t="shared" si="0"/>
        <v>Sa</v>
      </c>
      <c r="F9" s="195" t="str">
        <f t="shared" si="0"/>
        <v>Su</v>
      </c>
      <c r="G9" s="195" t="str">
        <f t="shared" si="0"/>
        <v>Mo</v>
      </c>
      <c r="H9" s="195" t="str">
        <f t="shared" si="0"/>
        <v>Tu</v>
      </c>
      <c r="I9" s="195" t="str">
        <f t="shared" si="0"/>
        <v>We</v>
      </c>
      <c r="J9" s="195" t="str">
        <f t="shared" si="0"/>
        <v>Th</v>
      </c>
      <c r="K9" s="195" t="str">
        <f t="shared" si="0"/>
        <v>Fr</v>
      </c>
      <c r="L9" s="195" t="str">
        <f t="shared" si="0"/>
        <v>Sa</v>
      </c>
      <c r="M9" s="195" t="str">
        <f t="shared" si="0"/>
        <v>Su</v>
      </c>
      <c r="N9" s="195" t="str">
        <f t="shared" si="0"/>
        <v>Mo</v>
      </c>
      <c r="O9" s="195" t="str">
        <f t="shared" si="0"/>
        <v>Tu</v>
      </c>
      <c r="P9" s="195" t="str">
        <f t="shared" si="0"/>
        <v>We</v>
      </c>
      <c r="Q9" s="195" t="str">
        <f t="shared" si="0"/>
        <v>Th</v>
      </c>
      <c r="R9" s="195" t="str">
        <f t="shared" si="0"/>
        <v>Fr</v>
      </c>
      <c r="S9" s="195" t="str">
        <f t="shared" si="0"/>
        <v>Sa</v>
      </c>
      <c r="T9" s="195" t="str">
        <f t="shared" si="0"/>
        <v>Su</v>
      </c>
      <c r="U9" s="195" t="str">
        <f t="shared" si="0"/>
        <v>Mo</v>
      </c>
      <c r="V9" s="195" t="str">
        <f t="shared" si="0"/>
        <v>Tu</v>
      </c>
      <c r="W9" s="195" t="str">
        <f t="shared" si="0"/>
        <v>We</v>
      </c>
      <c r="X9" s="195" t="str">
        <f t="shared" si="0"/>
        <v>Th</v>
      </c>
      <c r="Y9" s="195" t="str">
        <f t="shared" si="0"/>
        <v>Fr</v>
      </c>
      <c r="Z9" s="195" t="str">
        <f t="shared" si="0"/>
        <v>Sa</v>
      </c>
      <c r="AA9" s="195" t="str">
        <f t="shared" si="0"/>
        <v>Su</v>
      </c>
      <c r="AB9" s="195" t="str">
        <f t="shared" si="0"/>
        <v>Mo</v>
      </c>
      <c r="AC9" s="195" t="str">
        <f t="shared" si="0"/>
        <v>Tu</v>
      </c>
      <c r="AD9" s="195" t="str">
        <f t="shared" si="0"/>
        <v>We</v>
      </c>
      <c r="AE9" s="195" t="str">
        <f t="shared" si="0"/>
        <v>Th</v>
      </c>
      <c r="AF9" s="106"/>
      <c r="AG9" s="188"/>
      <c r="AH9" s="119"/>
      <c r="AI9" s="119"/>
      <c r="AJ9" s="119"/>
      <c r="AK9" s="119"/>
      <c r="AL9" s="119"/>
      <c r="AM9" s="189"/>
      <c r="AN9" s="119"/>
      <c r="AO9" s="119"/>
      <c r="AP9" s="119"/>
    </row>
    <row r="10" spans="1:42" s="59" customFormat="1" ht="25.5" x14ac:dyDescent="0.2">
      <c r="A10" s="196" t="s">
        <v>73</v>
      </c>
      <c r="B10" s="197">
        <v>42460</v>
      </c>
      <c r="C10" s="197">
        <f>B10+1</f>
        <v>42461</v>
      </c>
      <c r="D10" s="197">
        <f t="shared" ref="D10:AE10" si="1">C10+1</f>
        <v>42462</v>
      </c>
      <c r="E10" s="197">
        <f t="shared" si="1"/>
        <v>42463</v>
      </c>
      <c r="F10" s="197">
        <f t="shared" si="1"/>
        <v>42464</v>
      </c>
      <c r="G10" s="197">
        <f t="shared" si="1"/>
        <v>42465</v>
      </c>
      <c r="H10" s="197">
        <f t="shared" si="1"/>
        <v>42466</v>
      </c>
      <c r="I10" s="197">
        <f t="shared" si="1"/>
        <v>42467</v>
      </c>
      <c r="J10" s="197">
        <f t="shared" si="1"/>
        <v>42468</v>
      </c>
      <c r="K10" s="197">
        <f t="shared" si="1"/>
        <v>42469</v>
      </c>
      <c r="L10" s="197">
        <f t="shared" si="1"/>
        <v>42470</v>
      </c>
      <c r="M10" s="197">
        <f t="shared" si="1"/>
        <v>42471</v>
      </c>
      <c r="N10" s="197">
        <f t="shared" si="1"/>
        <v>42472</v>
      </c>
      <c r="O10" s="197">
        <f t="shared" si="1"/>
        <v>42473</v>
      </c>
      <c r="P10" s="197">
        <f t="shared" si="1"/>
        <v>42474</v>
      </c>
      <c r="Q10" s="197">
        <f t="shared" si="1"/>
        <v>42475</v>
      </c>
      <c r="R10" s="197">
        <f t="shared" si="1"/>
        <v>42476</v>
      </c>
      <c r="S10" s="197">
        <f t="shared" si="1"/>
        <v>42477</v>
      </c>
      <c r="T10" s="197">
        <f t="shared" si="1"/>
        <v>42478</v>
      </c>
      <c r="U10" s="197">
        <f t="shared" si="1"/>
        <v>42479</v>
      </c>
      <c r="V10" s="197">
        <f t="shared" si="1"/>
        <v>42480</v>
      </c>
      <c r="W10" s="197">
        <f t="shared" si="1"/>
        <v>42481</v>
      </c>
      <c r="X10" s="197">
        <f t="shared" si="1"/>
        <v>42482</v>
      </c>
      <c r="Y10" s="197">
        <f t="shared" si="1"/>
        <v>42483</v>
      </c>
      <c r="Z10" s="197">
        <f t="shared" si="1"/>
        <v>42484</v>
      </c>
      <c r="AA10" s="197">
        <f t="shared" si="1"/>
        <v>42485</v>
      </c>
      <c r="AB10" s="197">
        <f t="shared" si="1"/>
        <v>42486</v>
      </c>
      <c r="AC10" s="197">
        <f t="shared" si="1"/>
        <v>42487</v>
      </c>
      <c r="AD10" s="197">
        <f t="shared" si="1"/>
        <v>42488</v>
      </c>
      <c r="AE10" s="197">
        <f t="shared" si="1"/>
        <v>42489</v>
      </c>
      <c r="AF10" s="198" t="str">
        <f>A10</f>
        <v>Day</v>
      </c>
      <c r="AG10" s="486" t="str">
        <f>"Total " &amp; INDEX(EB.Monate.Bereich,MONTH(Monat.Tag1))</f>
        <v>Total April</v>
      </c>
      <c r="AH10" s="487"/>
      <c r="AI10" s="441" t="s">
        <v>229</v>
      </c>
      <c r="AJ10" s="199" t="s">
        <v>121</v>
      </c>
      <c r="AK10" s="199" t="s">
        <v>122</v>
      </c>
      <c r="AL10" s="199" t="s">
        <v>230</v>
      </c>
      <c r="AM10" s="200" t="s">
        <v>123</v>
      </c>
      <c r="AN10" s="488" t="str">
        <f ca="1">IF(EB.Sprache="DE","Jahressaldo per" &amp; CHAR(10) &amp; "    ME       " &amp; IFERROR(TEXT(TODAY(),"[$-0007]"&amp;"TT.MM.JJ"),TEXT(TODAY(),"[$-0007]"&amp;"DD.MM.YY")),
"Yearly balance by" &amp; CHAR(10) &amp; "   eom      " &amp; IFERROR(TEXT(TODAY(),"[$-0809]"&amp;"DD.MM.YY"),TEXT(TODAY(),"[$-0809]"&amp;"TT.MM.JJ")))</f>
        <v>Yearly balance by
   eom      14.12.19</v>
      </c>
      <c r="AO10" s="489"/>
      <c r="AP10" s="201"/>
    </row>
    <row r="11" spans="1:42" s="59" customFormat="1" ht="12" hidden="1" customHeight="1" x14ac:dyDescent="0.2">
      <c r="A11" s="196" t="s">
        <v>163</v>
      </c>
      <c r="B11" s="202">
        <f t="shared" ref="B11:AE11" ca="1" si="2">IFERROR(OFFSET(T.Feiertage.Bereich,MATCH(B$10,T.Feiertage.Bereich,0)-1,1,1,1),1)</f>
        <v>1</v>
      </c>
      <c r="C11" s="202">
        <f t="shared" ca="1" si="2"/>
        <v>1</v>
      </c>
      <c r="D11" s="202">
        <f t="shared" ca="1" si="2"/>
        <v>1</v>
      </c>
      <c r="E11" s="203">
        <f t="shared" ca="1" si="2"/>
        <v>1</v>
      </c>
      <c r="F11" s="202">
        <f t="shared" ca="1" si="2"/>
        <v>1</v>
      </c>
      <c r="G11" s="202">
        <f t="shared" ca="1" si="2"/>
        <v>1</v>
      </c>
      <c r="H11" s="202">
        <f t="shared" ca="1" si="2"/>
        <v>1</v>
      </c>
      <c r="I11" s="202">
        <f t="shared" ca="1" si="2"/>
        <v>1</v>
      </c>
      <c r="J11" s="203">
        <f t="shared" ca="1" si="2"/>
        <v>0.7142857142857143</v>
      </c>
      <c r="K11" s="202">
        <f t="shared" ca="1" si="2"/>
        <v>0</v>
      </c>
      <c r="L11" s="203">
        <f t="shared" ca="1" si="2"/>
        <v>1</v>
      </c>
      <c r="M11" s="202">
        <f t="shared" ca="1" si="2"/>
        <v>1</v>
      </c>
      <c r="N11" s="202">
        <f t="shared" ca="1" si="2"/>
        <v>0</v>
      </c>
      <c r="O11" s="202">
        <f t="shared" ca="1" si="2"/>
        <v>1</v>
      </c>
      <c r="P11" s="202">
        <f t="shared" ca="1" si="2"/>
        <v>1</v>
      </c>
      <c r="Q11" s="203">
        <f t="shared" ca="1" si="2"/>
        <v>1</v>
      </c>
      <c r="R11" s="202">
        <f t="shared" ca="1" si="2"/>
        <v>1</v>
      </c>
      <c r="S11" s="203">
        <f t="shared" ca="1" si="2"/>
        <v>1</v>
      </c>
      <c r="T11" s="203">
        <f t="shared" ca="1" si="2"/>
        <v>1</v>
      </c>
      <c r="U11" s="202">
        <f t="shared" ca="1" si="2"/>
        <v>0.5</v>
      </c>
      <c r="V11" s="202">
        <f t="shared" ca="1" si="2"/>
        <v>1</v>
      </c>
      <c r="W11" s="202">
        <f t="shared" ca="1" si="2"/>
        <v>1</v>
      </c>
      <c r="X11" s="203">
        <f t="shared" ca="1" si="2"/>
        <v>1</v>
      </c>
      <c r="Y11" s="202">
        <f t="shared" ca="1" si="2"/>
        <v>1</v>
      </c>
      <c r="Z11" s="204">
        <f t="shared" ca="1" si="2"/>
        <v>1</v>
      </c>
      <c r="AA11" s="202">
        <f t="shared" ca="1" si="2"/>
        <v>1</v>
      </c>
      <c r="AB11" s="202">
        <f t="shared" ca="1" si="2"/>
        <v>1</v>
      </c>
      <c r="AC11" s="202">
        <f t="shared" ca="1" si="2"/>
        <v>1</v>
      </c>
      <c r="AD11" s="202">
        <f t="shared" ca="1" si="2"/>
        <v>1</v>
      </c>
      <c r="AE11" s="203">
        <f t="shared" ca="1" si="2"/>
        <v>1</v>
      </c>
      <c r="AF11" s="205"/>
      <c r="AG11" s="188"/>
      <c r="AH11" s="206"/>
      <c r="AI11" s="207"/>
      <c r="AJ11" s="208"/>
      <c r="AK11" s="209"/>
      <c r="AL11" s="209"/>
      <c r="AM11" s="208"/>
      <c r="AN11" s="209"/>
      <c r="AO11" s="209"/>
      <c r="AP11" s="201"/>
    </row>
    <row r="12" spans="1:42" s="59" customFormat="1" ht="12" hidden="1" customHeight="1" x14ac:dyDescent="0.2">
      <c r="A12" s="196" t="s">
        <v>169</v>
      </c>
      <c r="B12" s="210">
        <f t="shared" ref="B12:AE12" si="3">IF(OR(AND(ISNUMBER(EB.UJEintritt),EB.UJEintritt&gt;=B$10+1),AND(ISNUMBER(EB.UJAustritt),EB.UJAustritt&lt;=B$10-1)),0,1)</f>
        <v>1</v>
      </c>
      <c r="C12" s="210">
        <f t="shared" si="3"/>
        <v>1</v>
      </c>
      <c r="D12" s="210">
        <f t="shared" si="3"/>
        <v>1</v>
      </c>
      <c r="E12" s="195">
        <f t="shared" si="3"/>
        <v>1</v>
      </c>
      <c r="F12" s="210">
        <f t="shared" si="3"/>
        <v>1</v>
      </c>
      <c r="G12" s="210">
        <f t="shared" si="3"/>
        <v>1</v>
      </c>
      <c r="H12" s="210">
        <f t="shared" si="3"/>
        <v>1</v>
      </c>
      <c r="I12" s="210">
        <f t="shared" si="3"/>
        <v>1</v>
      </c>
      <c r="J12" s="195">
        <f t="shared" si="3"/>
        <v>1</v>
      </c>
      <c r="K12" s="210">
        <f t="shared" si="3"/>
        <v>1</v>
      </c>
      <c r="L12" s="195">
        <f t="shared" si="3"/>
        <v>1</v>
      </c>
      <c r="M12" s="210">
        <f t="shared" si="3"/>
        <v>1</v>
      </c>
      <c r="N12" s="210">
        <f t="shared" si="3"/>
        <v>1</v>
      </c>
      <c r="O12" s="210">
        <f t="shared" si="3"/>
        <v>1</v>
      </c>
      <c r="P12" s="210">
        <f t="shared" si="3"/>
        <v>1</v>
      </c>
      <c r="Q12" s="195">
        <f t="shared" si="3"/>
        <v>1</v>
      </c>
      <c r="R12" s="210">
        <f t="shared" si="3"/>
        <v>1</v>
      </c>
      <c r="S12" s="195">
        <f t="shared" si="3"/>
        <v>1</v>
      </c>
      <c r="T12" s="195">
        <f t="shared" si="3"/>
        <v>1</v>
      </c>
      <c r="U12" s="210">
        <f t="shared" si="3"/>
        <v>1</v>
      </c>
      <c r="V12" s="210">
        <f t="shared" si="3"/>
        <v>1</v>
      </c>
      <c r="W12" s="210">
        <f t="shared" si="3"/>
        <v>1</v>
      </c>
      <c r="X12" s="195">
        <f t="shared" si="3"/>
        <v>1</v>
      </c>
      <c r="Y12" s="210">
        <f t="shared" si="3"/>
        <v>1</v>
      </c>
      <c r="Z12" s="211">
        <f t="shared" si="3"/>
        <v>1</v>
      </c>
      <c r="AA12" s="210">
        <f t="shared" si="3"/>
        <v>1</v>
      </c>
      <c r="AB12" s="210">
        <f t="shared" si="3"/>
        <v>1</v>
      </c>
      <c r="AC12" s="210">
        <f t="shared" si="3"/>
        <v>1</v>
      </c>
      <c r="AD12" s="210">
        <f t="shared" si="3"/>
        <v>1</v>
      </c>
      <c r="AE12" s="195">
        <f t="shared" si="3"/>
        <v>1</v>
      </c>
      <c r="AF12" s="205"/>
      <c r="AG12" s="188"/>
      <c r="AH12" s="206"/>
      <c r="AI12" s="207"/>
      <c r="AJ12" s="208"/>
      <c r="AK12" s="209"/>
      <c r="AL12" s="209"/>
      <c r="AM12" s="208"/>
      <c r="AN12" s="209"/>
      <c r="AO12" s="209"/>
      <c r="AP12" s="201"/>
    </row>
    <row r="13" spans="1:42" s="38" customFormat="1" ht="15" customHeight="1" x14ac:dyDescent="0.2">
      <c r="A13" s="212" t="s">
        <v>74</v>
      </c>
      <c r="B13" s="40"/>
      <c r="C13" s="40"/>
      <c r="D13" s="40"/>
      <c r="E13" s="27"/>
      <c r="F13" s="40"/>
      <c r="G13" s="40"/>
      <c r="H13" s="40"/>
      <c r="I13" s="40"/>
      <c r="J13" s="27"/>
      <c r="K13" s="40"/>
      <c r="L13" s="27"/>
      <c r="M13" s="40"/>
      <c r="N13" s="40"/>
      <c r="O13" s="40"/>
      <c r="P13" s="40"/>
      <c r="Q13" s="27"/>
      <c r="R13" s="40"/>
      <c r="S13" s="27"/>
      <c r="T13" s="27"/>
      <c r="U13" s="40"/>
      <c r="V13" s="40"/>
      <c r="W13" s="40"/>
      <c r="X13" s="27"/>
      <c r="Y13" s="40"/>
      <c r="Z13" s="39"/>
      <c r="AA13" s="40"/>
      <c r="AB13" s="40"/>
      <c r="AC13" s="40"/>
      <c r="AD13" s="40"/>
      <c r="AE13" s="27"/>
      <c r="AF13" s="205" t="str">
        <f t="shared" ref="AF13:AF23" si="4">A13</f>
        <v>in</v>
      </c>
      <c r="AG13" s="188"/>
      <c r="AH13" s="206"/>
      <c r="AI13" s="207"/>
      <c r="AJ13" s="208"/>
      <c r="AK13" s="209"/>
      <c r="AL13" s="209"/>
      <c r="AM13" s="208"/>
      <c r="AN13" s="209"/>
      <c r="AO13" s="209"/>
      <c r="AP13" s="119"/>
    </row>
    <row r="14" spans="1:42" s="38" customFormat="1" ht="15" customHeight="1" x14ac:dyDescent="0.2">
      <c r="A14" s="212" t="s">
        <v>75</v>
      </c>
      <c r="B14" s="40"/>
      <c r="C14" s="40"/>
      <c r="D14" s="40"/>
      <c r="E14" s="27"/>
      <c r="F14" s="40"/>
      <c r="G14" s="40"/>
      <c r="H14" s="40"/>
      <c r="I14" s="40"/>
      <c r="J14" s="27"/>
      <c r="K14" s="40"/>
      <c r="L14" s="27"/>
      <c r="M14" s="40"/>
      <c r="N14" s="40"/>
      <c r="O14" s="40"/>
      <c r="P14" s="40"/>
      <c r="Q14" s="27"/>
      <c r="R14" s="40"/>
      <c r="S14" s="27"/>
      <c r="T14" s="27"/>
      <c r="U14" s="40"/>
      <c r="V14" s="40"/>
      <c r="W14" s="40"/>
      <c r="X14" s="27"/>
      <c r="Y14" s="40"/>
      <c r="Z14" s="39"/>
      <c r="AA14" s="40"/>
      <c r="AB14" s="40"/>
      <c r="AC14" s="40"/>
      <c r="AD14" s="40"/>
      <c r="AE14" s="27"/>
      <c r="AF14" s="205" t="str">
        <f t="shared" si="4"/>
        <v>out</v>
      </c>
      <c r="AG14" s="188"/>
      <c r="AH14" s="206"/>
      <c r="AI14" s="207"/>
      <c r="AJ14" s="208"/>
      <c r="AK14" s="209"/>
      <c r="AL14" s="209"/>
      <c r="AM14" s="208"/>
      <c r="AN14" s="209"/>
      <c r="AO14" s="209"/>
      <c r="AP14" s="119"/>
    </row>
    <row r="15" spans="1:42" s="38" customFormat="1" ht="15" customHeight="1" x14ac:dyDescent="0.2">
      <c r="A15" s="212" t="s">
        <v>74</v>
      </c>
      <c r="B15" s="40"/>
      <c r="C15" s="40"/>
      <c r="D15" s="40"/>
      <c r="E15" s="27"/>
      <c r="F15" s="40"/>
      <c r="G15" s="40"/>
      <c r="H15" s="40"/>
      <c r="I15" s="40"/>
      <c r="J15" s="27"/>
      <c r="K15" s="40"/>
      <c r="L15" s="27"/>
      <c r="M15" s="40"/>
      <c r="N15" s="40"/>
      <c r="O15" s="40"/>
      <c r="P15" s="40"/>
      <c r="Q15" s="27"/>
      <c r="R15" s="40"/>
      <c r="S15" s="27"/>
      <c r="T15" s="27"/>
      <c r="U15" s="40"/>
      <c r="V15" s="40"/>
      <c r="W15" s="40"/>
      <c r="X15" s="27"/>
      <c r="Y15" s="40"/>
      <c r="Z15" s="39"/>
      <c r="AA15" s="40"/>
      <c r="AB15" s="40"/>
      <c r="AC15" s="40"/>
      <c r="AD15" s="40"/>
      <c r="AE15" s="27"/>
      <c r="AF15" s="205" t="str">
        <f t="shared" si="4"/>
        <v>in</v>
      </c>
      <c r="AG15" s="188"/>
      <c r="AH15" s="206"/>
      <c r="AI15" s="207"/>
      <c r="AJ15" s="208"/>
      <c r="AK15" s="209"/>
      <c r="AL15" s="209"/>
      <c r="AM15" s="208"/>
      <c r="AN15" s="209"/>
      <c r="AO15" s="209"/>
      <c r="AP15" s="119"/>
    </row>
    <row r="16" spans="1:42" s="38" customFormat="1" ht="15" customHeight="1" x14ac:dyDescent="0.2">
      <c r="A16" s="212" t="s">
        <v>75</v>
      </c>
      <c r="B16" s="40"/>
      <c r="C16" s="40"/>
      <c r="D16" s="40"/>
      <c r="E16" s="27"/>
      <c r="F16" s="40"/>
      <c r="G16" s="40"/>
      <c r="H16" s="40"/>
      <c r="I16" s="40"/>
      <c r="J16" s="27"/>
      <c r="K16" s="40"/>
      <c r="L16" s="27"/>
      <c r="M16" s="40"/>
      <c r="N16" s="40"/>
      <c r="O16" s="40"/>
      <c r="P16" s="40"/>
      <c r="Q16" s="27"/>
      <c r="R16" s="40"/>
      <c r="S16" s="27"/>
      <c r="T16" s="27"/>
      <c r="U16" s="40"/>
      <c r="V16" s="40"/>
      <c r="W16" s="40"/>
      <c r="X16" s="27"/>
      <c r="Y16" s="40"/>
      <c r="Z16" s="39"/>
      <c r="AA16" s="40"/>
      <c r="AB16" s="40"/>
      <c r="AC16" s="40"/>
      <c r="AD16" s="40"/>
      <c r="AE16" s="27"/>
      <c r="AF16" s="205" t="str">
        <f t="shared" si="4"/>
        <v>out</v>
      </c>
      <c r="AG16" s="188"/>
      <c r="AH16" s="213"/>
      <c r="AI16" s="214"/>
      <c r="AJ16" s="209"/>
      <c r="AK16" s="209"/>
      <c r="AL16" s="209"/>
      <c r="AM16" s="208"/>
      <c r="AN16" s="209"/>
      <c r="AO16" s="209"/>
      <c r="AP16" s="119"/>
    </row>
    <row r="17" spans="1:42" s="38" customFormat="1" ht="15" customHeight="1" x14ac:dyDescent="0.2">
      <c r="A17" s="212" t="s">
        <v>74</v>
      </c>
      <c r="B17" s="40"/>
      <c r="C17" s="40"/>
      <c r="D17" s="40"/>
      <c r="E17" s="27"/>
      <c r="F17" s="40"/>
      <c r="G17" s="40"/>
      <c r="H17" s="40"/>
      <c r="I17" s="40"/>
      <c r="J17" s="27"/>
      <c r="K17" s="40"/>
      <c r="L17" s="27"/>
      <c r="M17" s="40"/>
      <c r="N17" s="40"/>
      <c r="O17" s="40"/>
      <c r="P17" s="40"/>
      <c r="Q17" s="27"/>
      <c r="R17" s="40"/>
      <c r="S17" s="27"/>
      <c r="T17" s="27"/>
      <c r="U17" s="40"/>
      <c r="V17" s="40"/>
      <c r="W17" s="40"/>
      <c r="X17" s="27"/>
      <c r="Y17" s="40"/>
      <c r="Z17" s="39"/>
      <c r="AA17" s="40"/>
      <c r="AB17" s="40"/>
      <c r="AC17" s="40"/>
      <c r="AD17" s="40"/>
      <c r="AE17" s="27"/>
      <c r="AF17" s="205" t="str">
        <f t="shared" si="4"/>
        <v>in</v>
      </c>
      <c r="AG17" s="188"/>
      <c r="AH17" s="213"/>
      <c r="AI17" s="214"/>
      <c r="AJ17" s="209"/>
      <c r="AK17" s="209"/>
      <c r="AL17" s="209"/>
      <c r="AM17" s="208"/>
      <c r="AN17" s="209"/>
      <c r="AO17" s="209"/>
      <c r="AP17" s="119"/>
    </row>
    <row r="18" spans="1:42" s="38" customFormat="1" ht="15" customHeight="1" x14ac:dyDescent="0.2">
      <c r="A18" s="212" t="s">
        <v>75</v>
      </c>
      <c r="B18" s="40"/>
      <c r="C18" s="40"/>
      <c r="D18" s="40"/>
      <c r="E18" s="27"/>
      <c r="F18" s="40"/>
      <c r="G18" s="40"/>
      <c r="H18" s="40"/>
      <c r="I18" s="40"/>
      <c r="J18" s="27"/>
      <c r="K18" s="40"/>
      <c r="L18" s="27"/>
      <c r="M18" s="40"/>
      <c r="N18" s="40"/>
      <c r="O18" s="40"/>
      <c r="P18" s="40"/>
      <c r="Q18" s="27"/>
      <c r="R18" s="40"/>
      <c r="S18" s="27"/>
      <c r="T18" s="27"/>
      <c r="U18" s="40"/>
      <c r="V18" s="40"/>
      <c r="W18" s="40"/>
      <c r="X18" s="27"/>
      <c r="Y18" s="40"/>
      <c r="Z18" s="39"/>
      <c r="AA18" s="40"/>
      <c r="AB18" s="40"/>
      <c r="AC18" s="40"/>
      <c r="AD18" s="40"/>
      <c r="AE18" s="27"/>
      <c r="AF18" s="205" t="str">
        <f t="shared" si="4"/>
        <v>out</v>
      </c>
      <c r="AG18" s="188"/>
      <c r="AH18" s="213"/>
      <c r="AI18" s="214"/>
      <c r="AJ18" s="209"/>
      <c r="AK18" s="209"/>
      <c r="AL18" s="209"/>
      <c r="AM18" s="208"/>
      <c r="AN18" s="209"/>
      <c r="AO18" s="209"/>
      <c r="AP18" s="119"/>
    </row>
    <row r="19" spans="1:42" s="38" customFormat="1" ht="15" hidden="1" customHeight="1" outlineLevel="1" x14ac:dyDescent="0.2">
      <c r="A19" s="212" t="s">
        <v>74</v>
      </c>
      <c r="B19" s="40"/>
      <c r="C19" s="40"/>
      <c r="D19" s="40"/>
      <c r="E19" s="27"/>
      <c r="F19" s="40"/>
      <c r="G19" s="40"/>
      <c r="H19" s="40"/>
      <c r="I19" s="40"/>
      <c r="J19" s="27"/>
      <c r="K19" s="40"/>
      <c r="L19" s="27"/>
      <c r="M19" s="40"/>
      <c r="N19" s="40"/>
      <c r="O19" s="40"/>
      <c r="P19" s="40"/>
      <c r="Q19" s="27"/>
      <c r="R19" s="40"/>
      <c r="S19" s="27"/>
      <c r="T19" s="27"/>
      <c r="U19" s="40"/>
      <c r="V19" s="40"/>
      <c r="W19" s="40"/>
      <c r="X19" s="27"/>
      <c r="Y19" s="40"/>
      <c r="Z19" s="39"/>
      <c r="AA19" s="40"/>
      <c r="AB19" s="40"/>
      <c r="AC19" s="40"/>
      <c r="AD19" s="40"/>
      <c r="AE19" s="27"/>
      <c r="AF19" s="205" t="str">
        <f t="shared" si="4"/>
        <v>in</v>
      </c>
      <c r="AG19" s="188"/>
      <c r="AH19" s="213"/>
      <c r="AI19" s="214"/>
      <c r="AJ19" s="209"/>
      <c r="AK19" s="209"/>
      <c r="AL19" s="209"/>
      <c r="AM19" s="208"/>
      <c r="AN19" s="209"/>
      <c r="AO19" s="209"/>
      <c r="AP19" s="119"/>
    </row>
    <row r="20" spans="1:42" s="38" customFormat="1" ht="15" hidden="1" customHeight="1" outlineLevel="1" x14ac:dyDescent="0.2">
      <c r="A20" s="212" t="s">
        <v>75</v>
      </c>
      <c r="B20" s="40"/>
      <c r="C20" s="40"/>
      <c r="D20" s="40"/>
      <c r="E20" s="27"/>
      <c r="F20" s="40"/>
      <c r="G20" s="40"/>
      <c r="H20" s="40"/>
      <c r="I20" s="40"/>
      <c r="J20" s="27"/>
      <c r="K20" s="40"/>
      <c r="L20" s="27"/>
      <c r="M20" s="40"/>
      <c r="N20" s="40"/>
      <c r="O20" s="40"/>
      <c r="P20" s="40"/>
      <c r="Q20" s="27"/>
      <c r="R20" s="40"/>
      <c r="S20" s="27"/>
      <c r="T20" s="27"/>
      <c r="U20" s="40"/>
      <c r="V20" s="40"/>
      <c r="W20" s="40"/>
      <c r="X20" s="27"/>
      <c r="Y20" s="40"/>
      <c r="Z20" s="39"/>
      <c r="AA20" s="40"/>
      <c r="AB20" s="40"/>
      <c r="AC20" s="40"/>
      <c r="AD20" s="40"/>
      <c r="AE20" s="27"/>
      <c r="AF20" s="205" t="str">
        <f t="shared" si="4"/>
        <v>out</v>
      </c>
      <c r="AG20" s="188"/>
      <c r="AH20" s="213"/>
      <c r="AI20" s="214"/>
      <c r="AJ20" s="209"/>
      <c r="AK20" s="209"/>
      <c r="AL20" s="209"/>
      <c r="AM20" s="208"/>
      <c r="AN20" s="209"/>
      <c r="AO20" s="209"/>
      <c r="AP20" s="119"/>
    </row>
    <row r="21" spans="1:42" s="38" customFormat="1" ht="15" hidden="1" customHeight="1" outlineLevel="1" x14ac:dyDescent="0.2">
      <c r="A21" s="212" t="s">
        <v>74</v>
      </c>
      <c r="B21" s="40"/>
      <c r="C21" s="40"/>
      <c r="D21" s="40"/>
      <c r="E21" s="27"/>
      <c r="F21" s="40"/>
      <c r="G21" s="40"/>
      <c r="H21" s="40"/>
      <c r="I21" s="40"/>
      <c r="J21" s="27"/>
      <c r="K21" s="40"/>
      <c r="L21" s="27"/>
      <c r="M21" s="40"/>
      <c r="N21" s="40"/>
      <c r="O21" s="40"/>
      <c r="P21" s="40"/>
      <c r="Q21" s="27"/>
      <c r="R21" s="40"/>
      <c r="S21" s="27"/>
      <c r="T21" s="27"/>
      <c r="U21" s="40"/>
      <c r="V21" s="40"/>
      <c r="W21" s="40"/>
      <c r="X21" s="27"/>
      <c r="Y21" s="40"/>
      <c r="Z21" s="39"/>
      <c r="AA21" s="40"/>
      <c r="AB21" s="40"/>
      <c r="AC21" s="40"/>
      <c r="AD21" s="40"/>
      <c r="AE21" s="27"/>
      <c r="AF21" s="205" t="str">
        <f t="shared" si="4"/>
        <v>in</v>
      </c>
      <c r="AG21" s="188"/>
      <c r="AH21" s="213"/>
      <c r="AI21" s="214"/>
      <c r="AJ21" s="209"/>
      <c r="AK21" s="209"/>
      <c r="AL21" s="209"/>
      <c r="AM21" s="208"/>
      <c r="AN21" s="209"/>
      <c r="AO21" s="209"/>
      <c r="AP21" s="119"/>
    </row>
    <row r="22" spans="1:42" s="38" customFormat="1" ht="15" hidden="1" customHeight="1" outlineLevel="1" x14ac:dyDescent="0.2">
      <c r="A22" s="212" t="s">
        <v>75</v>
      </c>
      <c r="B22" s="40"/>
      <c r="C22" s="40"/>
      <c r="D22" s="40"/>
      <c r="E22" s="27"/>
      <c r="F22" s="40"/>
      <c r="G22" s="40"/>
      <c r="H22" s="40"/>
      <c r="I22" s="40"/>
      <c r="J22" s="27"/>
      <c r="K22" s="40"/>
      <c r="L22" s="27"/>
      <c r="M22" s="40"/>
      <c r="N22" s="40"/>
      <c r="O22" s="40"/>
      <c r="P22" s="40"/>
      <c r="Q22" s="27"/>
      <c r="R22" s="40"/>
      <c r="S22" s="27"/>
      <c r="T22" s="27"/>
      <c r="U22" s="40"/>
      <c r="V22" s="40"/>
      <c r="W22" s="40"/>
      <c r="X22" s="27"/>
      <c r="Y22" s="40"/>
      <c r="Z22" s="39"/>
      <c r="AA22" s="40"/>
      <c r="AB22" s="40"/>
      <c r="AC22" s="40"/>
      <c r="AD22" s="40"/>
      <c r="AE22" s="27"/>
      <c r="AF22" s="205" t="str">
        <f t="shared" si="4"/>
        <v>out</v>
      </c>
      <c r="AG22" s="188"/>
      <c r="AH22" s="213"/>
      <c r="AI22" s="214"/>
      <c r="AJ22" s="209"/>
      <c r="AK22" s="209"/>
      <c r="AL22" s="209"/>
      <c r="AM22" s="208"/>
      <c r="AN22" s="209"/>
      <c r="AO22" s="209"/>
      <c r="AP22" s="119"/>
    </row>
    <row r="23" spans="1:42" s="38" customFormat="1" ht="15" customHeight="1" collapsed="1" x14ac:dyDescent="0.2">
      <c r="A23" s="215" t="s">
        <v>204</v>
      </c>
      <c r="B23" s="216">
        <f>ROUND(((B14-B13)+(B16-B15)+(B18-B17)+(B20-B19)+(B22-B21))*1440,0)/1440</f>
        <v>0</v>
      </c>
      <c r="C23" s="216">
        <f t="shared" ref="C23:AE23" si="5">ROUND(((C14-C13)+(C16-C15)+(C18-C17)+(C20-C19)+(C22-C21))*1440,0)/1440</f>
        <v>0</v>
      </c>
      <c r="D23" s="216">
        <f t="shared" si="5"/>
        <v>0</v>
      </c>
      <c r="E23" s="216">
        <f t="shared" si="5"/>
        <v>0</v>
      </c>
      <c r="F23" s="216">
        <f t="shared" si="5"/>
        <v>0</v>
      </c>
      <c r="G23" s="216">
        <f t="shared" si="5"/>
        <v>0</v>
      </c>
      <c r="H23" s="216">
        <f t="shared" si="5"/>
        <v>0</v>
      </c>
      <c r="I23" s="216">
        <f t="shared" si="5"/>
        <v>0</v>
      </c>
      <c r="J23" s="216">
        <f t="shared" si="5"/>
        <v>0</v>
      </c>
      <c r="K23" s="216">
        <f t="shared" si="5"/>
        <v>0</v>
      </c>
      <c r="L23" s="216">
        <f t="shared" si="5"/>
        <v>0</v>
      </c>
      <c r="M23" s="216">
        <f t="shared" si="5"/>
        <v>0</v>
      </c>
      <c r="N23" s="216">
        <f t="shared" si="5"/>
        <v>0</v>
      </c>
      <c r="O23" s="216">
        <f t="shared" si="5"/>
        <v>0</v>
      </c>
      <c r="P23" s="216">
        <f t="shared" si="5"/>
        <v>0</v>
      </c>
      <c r="Q23" s="216">
        <f t="shared" si="5"/>
        <v>0</v>
      </c>
      <c r="R23" s="216">
        <f t="shared" si="5"/>
        <v>0</v>
      </c>
      <c r="S23" s="216">
        <f t="shared" si="5"/>
        <v>0</v>
      </c>
      <c r="T23" s="216">
        <f t="shared" si="5"/>
        <v>0</v>
      </c>
      <c r="U23" s="216">
        <f t="shared" si="5"/>
        <v>0</v>
      </c>
      <c r="V23" s="216">
        <f t="shared" si="5"/>
        <v>0</v>
      </c>
      <c r="W23" s="216">
        <f t="shared" si="5"/>
        <v>0</v>
      </c>
      <c r="X23" s="216">
        <f t="shared" si="5"/>
        <v>0</v>
      </c>
      <c r="Y23" s="216">
        <f t="shared" si="5"/>
        <v>0</v>
      </c>
      <c r="Z23" s="216">
        <f t="shared" si="5"/>
        <v>0</v>
      </c>
      <c r="AA23" s="216">
        <f t="shared" si="5"/>
        <v>0</v>
      </c>
      <c r="AB23" s="216">
        <f t="shared" si="5"/>
        <v>0</v>
      </c>
      <c r="AC23" s="216">
        <f t="shared" si="5"/>
        <v>0</v>
      </c>
      <c r="AD23" s="216">
        <f t="shared" si="5"/>
        <v>0</v>
      </c>
      <c r="AE23" s="216">
        <f t="shared" si="5"/>
        <v>0</v>
      </c>
      <c r="AF23" s="217" t="str">
        <f t="shared" si="4"/>
        <v>Total in/out</v>
      </c>
      <c r="AG23" s="218"/>
      <c r="AH23" s="219">
        <f>SUM(B23:AE23)</f>
        <v>0</v>
      </c>
      <c r="AI23" s="214"/>
      <c r="AJ23" s="209"/>
      <c r="AK23" s="209"/>
      <c r="AL23" s="209"/>
      <c r="AM23" s="208"/>
      <c r="AN23" s="209"/>
      <c r="AO23" s="209"/>
      <c r="AP23" s="119"/>
    </row>
    <row r="24" spans="1:42" s="38" customFormat="1" ht="3.75" hidden="1" customHeight="1" outlineLevel="1" x14ac:dyDescent="0.2">
      <c r="A24" s="220"/>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05"/>
      <c r="AG24" s="188"/>
      <c r="AH24" s="213"/>
      <c r="AI24" s="214"/>
      <c r="AJ24" s="209"/>
      <c r="AK24" s="209"/>
      <c r="AL24" s="209"/>
      <c r="AM24" s="208"/>
      <c r="AN24" s="209"/>
      <c r="AO24" s="209"/>
      <c r="AP24" s="119"/>
    </row>
    <row r="25" spans="1:42" s="38" customFormat="1" ht="15" hidden="1" customHeight="1" outlineLevel="1" x14ac:dyDescent="0.2">
      <c r="A25" s="212" t="s">
        <v>164</v>
      </c>
      <c r="B25" s="40"/>
      <c r="C25" s="40"/>
      <c r="D25" s="40"/>
      <c r="E25" s="77"/>
      <c r="F25" s="40"/>
      <c r="G25" s="40"/>
      <c r="H25" s="40"/>
      <c r="I25" s="40"/>
      <c r="J25" s="40"/>
      <c r="K25" s="40"/>
      <c r="L25" s="40"/>
      <c r="M25" s="40"/>
      <c r="N25" s="40"/>
      <c r="O25" s="40"/>
      <c r="P25" s="40"/>
      <c r="Q25" s="40"/>
      <c r="R25" s="40"/>
      <c r="S25" s="40"/>
      <c r="T25" s="40"/>
      <c r="U25" s="40"/>
      <c r="V25" s="40"/>
      <c r="W25" s="40"/>
      <c r="X25" s="40"/>
      <c r="Y25" s="40"/>
      <c r="Z25" s="47"/>
      <c r="AA25" s="40"/>
      <c r="AB25" s="40"/>
      <c r="AC25" s="40"/>
      <c r="AD25" s="40"/>
      <c r="AE25" s="40"/>
      <c r="AF25" s="205" t="str">
        <f t="shared" ref="AF25:AF30" si="6">A25</f>
        <v>paid break in</v>
      </c>
      <c r="AG25" s="188"/>
      <c r="AH25" s="213"/>
      <c r="AI25" s="214"/>
      <c r="AJ25" s="209"/>
      <c r="AK25" s="209"/>
      <c r="AL25" s="209"/>
      <c r="AM25" s="208"/>
      <c r="AN25" s="209"/>
      <c r="AO25" s="209"/>
      <c r="AP25" s="119"/>
    </row>
    <row r="26" spans="1:42" s="38" customFormat="1" ht="15" hidden="1" customHeight="1" outlineLevel="1" x14ac:dyDescent="0.2">
      <c r="A26" s="212" t="s">
        <v>165</v>
      </c>
      <c r="B26" s="40"/>
      <c r="C26" s="40"/>
      <c r="D26" s="40"/>
      <c r="E26" s="40"/>
      <c r="F26" s="40"/>
      <c r="G26" s="40"/>
      <c r="H26" s="40"/>
      <c r="I26" s="40"/>
      <c r="J26" s="40"/>
      <c r="K26" s="40"/>
      <c r="L26" s="40"/>
      <c r="M26" s="40"/>
      <c r="N26" s="40"/>
      <c r="O26" s="40"/>
      <c r="P26" s="40"/>
      <c r="Q26" s="40"/>
      <c r="R26" s="40"/>
      <c r="S26" s="40"/>
      <c r="T26" s="40"/>
      <c r="U26" s="40"/>
      <c r="V26" s="40"/>
      <c r="W26" s="40"/>
      <c r="X26" s="40"/>
      <c r="Y26" s="40"/>
      <c r="Z26" s="47"/>
      <c r="AA26" s="40"/>
      <c r="AB26" s="40"/>
      <c r="AC26" s="40"/>
      <c r="AD26" s="40"/>
      <c r="AE26" s="40"/>
      <c r="AF26" s="205" t="str">
        <f t="shared" si="6"/>
        <v>paid break out</v>
      </c>
      <c r="AG26" s="188"/>
      <c r="AH26" s="213"/>
      <c r="AI26" s="214"/>
      <c r="AJ26" s="209"/>
      <c r="AK26" s="209"/>
      <c r="AL26" s="209"/>
      <c r="AM26" s="208"/>
      <c r="AN26" s="209"/>
      <c r="AO26" s="209"/>
      <c r="AP26" s="119"/>
    </row>
    <row r="27" spans="1:42" s="38" customFormat="1" ht="15" hidden="1" customHeight="1" outlineLevel="1" x14ac:dyDescent="0.2">
      <c r="A27" s="212" t="s">
        <v>164</v>
      </c>
      <c r="B27" s="40"/>
      <c r="C27" s="40"/>
      <c r="D27" s="40"/>
      <c r="E27" s="40"/>
      <c r="F27" s="40"/>
      <c r="G27" s="40"/>
      <c r="H27" s="40"/>
      <c r="I27" s="40"/>
      <c r="J27" s="40"/>
      <c r="K27" s="40"/>
      <c r="L27" s="40"/>
      <c r="M27" s="40"/>
      <c r="N27" s="40"/>
      <c r="O27" s="40"/>
      <c r="P27" s="40"/>
      <c r="Q27" s="40"/>
      <c r="R27" s="40"/>
      <c r="S27" s="40"/>
      <c r="T27" s="40"/>
      <c r="U27" s="40"/>
      <c r="V27" s="40"/>
      <c r="W27" s="40"/>
      <c r="X27" s="40"/>
      <c r="Y27" s="40"/>
      <c r="Z27" s="47"/>
      <c r="AA27" s="40"/>
      <c r="AB27" s="40"/>
      <c r="AC27" s="40"/>
      <c r="AD27" s="40"/>
      <c r="AE27" s="40"/>
      <c r="AF27" s="205" t="str">
        <f t="shared" si="6"/>
        <v>paid break in</v>
      </c>
      <c r="AG27" s="188"/>
      <c r="AH27" s="213"/>
      <c r="AI27" s="214"/>
      <c r="AJ27" s="209"/>
      <c r="AK27" s="209"/>
      <c r="AL27" s="209"/>
      <c r="AM27" s="208"/>
      <c r="AN27" s="209"/>
      <c r="AO27" s="209"/>
      <c r="AP27" s="119"/>
    </row>
    <row r="28" spans="1:42" s="38" customFormat="1" ht="15" hidden="1" customHeight="1" outlineLevel="1" x14ac:dyDescent="0.2">
      <c r="A28" s="212" t="s">
        <v>165</v>
      </c>
      <c r="B28" s="40"/>
      <c r="C28" s="40"/>
      <c r="D28" s="40"/>
      <c r="E28" s="40"/>
      <c r="F28" s="40"/>
      <c r="G28" s="40"/>
      <c r="H28" s="40"/>
      <c r="I28" s="40"/>
      <c r="J28" s="40"/>
      <c r="K28" s="40"/>
      <c r="L28" s="40"/>
      <c r="M28" s="40"/>
      <c r="N28" s="40"/>
      <c r="O28" s="40"/>
      <c r="P28" s="40"/>
      <c r="Q28" s="40"/>
      <c r="R28" s="40"/>
      <c r="S28" s="40"/>
      <c r="T28" s="40"/>
      <c r="U28" s="40"/>
      <c r="V28" s="40"/>
      <c r="W28" s="40"/>
      <c r="X28" s="40"/>
      <c r="Y28" s="40"/>
      <c r="Z28" s="47"/>
      <c r="AA28" s="40"/>
      <c r="AB28" s="40"/>
      <c r="AC28" s="40"/>
      <c r="AD28" s="40"/>
      <c r="AE28" s="40"/>
      <c r="AF28" s="205" t="str">
        <f t="shared" si="6"/>
        <v>paid break out</v>
      </c>
      <c r="AG28" s="188"/>
      <c r="AH28" s="213"/>
      <c r="AI28" s="214"/>
      <c r="AJ28" s="209"/>
      <c r="AK28" s="209"/>
      <c r="AL28" s="209"/>
      <c r="AM28" s="208"/>
      <c r="AN28" s="209"/>
      <c r="AO28" s="209"/>
      <c r="AP28" s="119"/>
    </row>
    <row r="29" spans="1:42" s="38" customFormat="1" ht="15" hidden="1" customHeight="1" outlineLevel="1" x14ac:dyDescent="0.2">
      <c r="A29" s="212" t="s">
        <v>164</v>
      </c>
      <c r="B29" s="40"/>
      <c r="C29" s="40"/>
      <c r="D29" s="40"/>
      <c r="E29" s="40"/>
      <c r="F29" s="40"/>
      <c r="G29" s="40"/>
      <c r="H29" s="40"/>
      <c r="I29" s="40"/>
      <c r="J29" s="40"/>
      <c r="K29" s="40"/>
      <c r="L29" s="40"/>
      <c r="M29" s="40"/>
      <c r="N29" s="40"/>
      <c r="O29" s="40"/>
      <c r="P29" s="40"/>
      <c r="Q29" s="40"/>
      <c r="R29" s="40"/>
      <c r="S29" s="40"/>
      <c r="T29" s="40"/>
      <c r="U29" s="40"/>
      <c r="V29" s="40"/>
      <c r="W29" s="40"/>
      <c r="X29" s="40"/>
      <c r="Y29" s="40"/>
      <c r="Z29" s="47"/>
      <c r="AA29" s="40"/>
      <c r="AB29" s="40"/>
      <c r="AC29" s="40"/>
      <c r="AD29" s="40"/>
      <c r="AE29" s="40"/>
      <c r="AF29" s="205" t="str">
        <f t="shared" si="6"/>
        <v>paid break in</v>
      </c>
      <c r="AG29" s="188"/>
      <c r="AH29" s="213"/>
      <c r="AI29" s="214"/>
      <c r="AJ29" s="209"/>
      <c r="AK29" s="209"/>
      <c r="AL29" s="209"/>
      <c r="AM29" s="208"/>
      <c r="AN29" s="209"/>
      <c r="AO29" s="209"/>
      <c r="AP29" s="119"/>
    </row>
    <row r="30" spans="1:42" s="38" customFormat="1" ht="15" hidden="1" customHeight="1" outlineLevel="1" x14ac:dyDescent="0.2">
      <c r="A30" s="212" t="s">
        <v>165</v>
      </c>
      <c r="B30" s="40"/>
      <c r="C30" s="40"/>
      <c r="D30" s="40"/>
      <c r="E30" s="40"/>
      <c r="F30" s="40"/>
      <c r="G30" s="40"/>
      <c r="H30" s="40"/>
      <c r="I30" s="40"/>
      <c r="J30" s="40"/>
      <c r="K30" s="40"/>
      <c r="L30" s="40"/>
      <c r="M30" s="40"/>
      <c r="N30" s="40"/>
      <c r="O30" s="40"/>
      <c r="P30" s="40"/>
      <c r="Q30" s="40"/>
      <c r="R30" s="40"/>
      <c r="S30" s="40"/>
      <c r="T30" s="40"/>
      <c r="U30" s="40"/>
      <c r="V30" s="40"/>
      <c r="W30" s="40"/>
      <c r="X30" s="40"/>
      <c r="Y30" s="40"/>
      <c r="Z30" s="47"/>
      <c r="AA30" s="40"/>
      <c r="AB30" s="40"/>
      <c r="AC30" s="40"/>
      <c r="AD30" s="40"/>
      <c r="AE30" s="40"/>
      <c r="AF30" s="205" t="str">
        <f t="shared" si="6"/>
        <v>paid break out</v>
      </c>
      <c r="AG30" s="188"/>
      <c r="AH30" s="213"/>
      <c r="AI30" s="214"/>
      <c r="AJ30" s="209"/>
      <c r="AK30" s="209"/>
      <c r="AL30" s="209"/>
      <c r="AM30" s="208"/>
      <c r="AN30" s="209"/>
      <c r="AO30" s="209"/>
      <c r="AP30" s="119"/>
    </row>
    <row r="31" spans="1:42" s="38" customFormat="1" ht="3.75" hidden="1" customHeight="1" outlineLevel="1" x14ac:dyDescent="0.2">
      <c r="A31" s="220"/>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05"/>
      <c r="AG31" s="188"/>
      <c r="AH31" s="213"/>
      <c r="AI31" s="214"/>
      <c r="AJ31" s="209"/>
      <c r="AK31" s="209"/>
      <c r="AL31" s="209"/>
      <c r="AM31" s="208"/>
      <c r="AN31" s="209"/>
      <c r="AO31" s="209"/>
      <c r="AP31" s="119"/>
    </row>
    <row r="32" spans="1:42" s="38" customFormat="1" ht="15" hidden="1" customHeight="1" outlineLevel="1" x14ac:dyDescent="0.2">
      <c r="A32" s="215" t="s">
        <v>205</v>
      </c>
      <c r="B32" s="225">
        <f>ROUND((IF(MAX(0,B15-B14)&lt;1/24/60*180,MAX(0,B15-B14),0)+IF(MAX(0,B17-B16)&lt;1/24/60*180,MAX(0,B17-B16),0)+IF(MAX(0,B19-B18)&lt;1/24/60*180,MAX(0,B19-B18),0)+IF(MAX(0,B21-B20)&lt;1/24/60*180,MAX(0,B21-B20))+MAX(0,B26-B25)+MAX(0,B28-B27)+MAX(0,B30-B29))*1440,0)/1440</f>
        <v>0</v>
      </c>
      <c r="C32" s="225">
        <f t="shared" ref="C32:AE32" si="7">ROUND((IF(MAX(0,C15-C14)&lt;1/24/60*180,MAX(0,C15-C14),0)+IF(MAX(0,C17-C16)&lt;1/24/60*180,MAX(0,C17-C16),0)+IF(MAX(0,C19-C18)&lt;1/24/60*180,MAX(0,C19-C18),0)+IF(MAX(0,C21-C20)&lt;1/24/60*180,MAX(0,C21-C20))+MAX(0,C26-C25)+MAX(0,C28-C27)+MAX(0,C30-C29))*1440,0)/1440</f>
        <v>0</v>
      </c>
      <c r="D32" s="225">
        <f t="shared" si="7"/>
        <v>0</v>
      </c>
      <c r="E32" s="225">
        <f t="shared" si="7"/>
        <v>0</v>
      </c>
      <c r="F32" s="225">
        <f t="shared" si="7"/>
        <v>0</v>
      </c>
      <c r="G32" s="225">
        <f t="shared" si="7"/>
        <v>0</v>
      </c>
      <c r="H32" s="225">
        <f t="shared" si="7"/>
        <v>0</v>
      </c>
      <c r="I32" s="225">
        <f t="shared" si="7"/>
        <v>0</v>
      </c>
      <c r="J32" s="225">
        <f t="shared" si="7"/>
        <v>0</v>
      </c>
      <c r="K32" s="225">
        <f t="shared" si="7"/>
        <v>0</v>
      </c>
      <c r="L32" s="225">
        <f t="shared" si="7"/>
        <v>0</v>
      </c>
      <c r="M32" s="225">
        <f t="shared" si="7"/>
        <v>0</v>
      </c>
      <c r="N32" s="225">
        <f t="shared" si="7"/>
        <v>0</v>
      </c>
      <c r="O32" s="225">
        <f t="shared" si="7"/>
        <v>0</v>
      </c>
      <c r="P32" s="225">
        <f t="shared" si="7"/>
        <v>0</v>
      </c>
      <c r="Q32" s="225">
        <f t="shared" si="7"/>
        <v>0</v>
      </c>
      <c r="R32" s="225">
        <f t="shared" si="7"/>
        <v>0</v>
      </c>
      <c r="S32" s="225">
        <f t="shared" si="7"/>
        <v>0</v>
      </c>
      <c r="T32" s="225">
        <f t="shared" si="7"/>
        <v>0</v>
      </c>
      <c r="U32" s="225">
        <f t="shared" si="7"/>
        <v>0</v>
      </c>
      <c r="V32" s="225">
        <f t="shared" si="7"/>
        <v>0</v>
      </c>
      <c r="W32" s="225">
        <f t="shared" si="7"/>
        <v>0</v>
      </c>
      <c r="X32" s="225">
        <f t="shared" si="7"/>
        <v>0</v>
      </c>
      <c r="Y32" s="225">
        <f t="shared" si="7"/>
        <v>0</v>
      </c>
      <c r="Z32" s="225">
        <f t="shared" si="7"/>
        <v>0</v>
      </c>
      <c r="AA32" s="225">
        <f t="shared" si="7"/>
        <v>0</v>
      </c>
      <c r="AB32" s="225">
        <f t="shared" si="7"/>
        <v>0</v>
      </c>
      <c r="AC32" s="225">
        <f t="shared" si="7"/>
        <v>0</v>
      </c>
      <c r="AD32" s="225">
        <f t="shared" si="7"/>
        <v>0</v>
      </c>
      <c r="AE32" s="225">
        <f t="shared" si="7"/>
        <v>0</v>
      </c>
      <c r="AF32" s="217" t="str">
        <f>A32</f>
        <v>Total breaks (in out/paid)</v>
      </c>
      <c r="AG32" s="218"/>
      <c r="AH32" s="219">
        <f>SUM(B32:AE32)</f>
        <v>0</v>
      </c>
      <c r="AI32" s="214"/>
      <c r="AJ32" s="209"/>
      <c r="AK32" s="209"/>
      <c r="AL32" s="209"/>
      <c r="AM32" s="208"/>
      <c r="AN32" s="209"/>
      <c r="AO32" s="209"/>
      <c r="AP32" s="119"/>
    </row>
    <row r="33" spans="1:42" s="38" customFormat="1" ht="3.75" customHeight="1" collapsed="1" x14ac:dyDescent="0.2">
      <c r="A33" s="220"/>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05"/>
      <c r="AG33" s="188"/>
      <c r="AH33" s="213"/>
      <c r="AI33" s="214"/>
      <c r="AJ33" s="209"/>
      <c r="AK33" s="209"/>
      <c r="AL33" s="209"/>
      <c r="AM33" s="208"/>
      <c r="AN33" s="209"/>
      <c r="AO33" s="209"/>
      <c r="AP33" s="119"/>
    </row>
    <row r="34" spans="1:42" s="38" customFormat="1" ht="15" customHeight="1" outlineLevel="1" x14ac:dyDescent="0.2">
      <c r="A34" s="212" t="s">
        <v>206</v>
      </c>
      <c r="B34" s="92" t="str">
        <f ca="1">IF(EB.Anwendung&lt;&gt;"",IF(EB.Wochenarbeitszeit=50/24,INDEX(T.Pikett.Bereich,1),IF(DAY(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34="B",INDEX(T.Pikett.Bereich,4),IF(A34="E",INDEX(T.Pikett.Bereich,1),A34)))),"")</f>
        <v>No</v>
      </c>
      <c r="C34" s="92" t="str">
        <f ca="1">IF(EB.Anwendung&lt;&gt;"",IF(EB.Wochenarbeitszeit=50/24,INDEX(T.Pikett.Bereich,1),IF(DAY(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B34="B",INDEX(T.Pikett.Bereich,4),IF(B34="E",INDEX(T.Pikett.Bereich,1),B34)))),"")</f>
        <v>No</v>
      </c>
      <c r="D34" s="92" t="str">
        <f ca="1">IF(EB.Anwendung&lt;&gt;"",IF(EB.Wochenarbeitszeit=50/24,INDEX(T.Pikett.Bereich,1),IF(DAY(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C34="B",INDEX(T.Pikett.Bereich,4),IF(C34="E",INDEX(T.Pikett.Bereich,1),C34)))),"")</f>
        <v>No</v>
      </c>
      <c r="E34" s="92" t="str">
        <f ca="1">IF(EB.Anwendung&lt;&gt;"",IF(EB.Wochenarbeitszeit=50/24,INDEX(T.Pikett.Bereich,1),IF(DAY(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D34="B",INDEX(T.Pikett.Bereich,4),IF(D34="E",INDEX(T.Pikett.Bereich,1),D34)))),"")</f>
        <v>No</v>
      </c>
      <c r="F34" s="92" t="str">
        <f ca="1">IF(EB.Anwendung&lt;&gt;"",IF(EB.Wochenarbeitszeit=50/24,INDEX(T.Pikett.Bereich,1),IF(DAY(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E34="B",INDEX(T.Pikett.Bereich,4),IF(E34="E",INDEX(T.Pikett.Bereich,1),E34)))),"")</f>
        <v>No</v>
      </c>
      <c r="G34" s="92" t="str">
        <f ca="1">IF(EB.Anwendung&lt;&gt;"",IF(EB.Wochenarbeitszeit=50/24,INDEX(T.Pikett.Bereich,1),IF(DAY(G$10)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F34="B",INDEX(T.Pikett.Bereich,4),IF(F34="E",INDEX(T.Pikett.Bereich,1),F34)))),"")</f>
        <v>No</v>
      </c>
      <c r="H34" s="92" t="str">
        <f ca="1">IF(EB.Anwendung&lt;&gt;"",IF(EB.Wochenarbeitszeit=50/24,INDEX(T.Pikett.Bereich,1),IF(DAY(H$10)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G34="B",INDEX(T.Pikett.Bereich,4),IF(G34="E",INDEX(T.Pikett.Bereich,1),G34)))),"")</f>
        <v>No</v>
      </c>
      <c r="I34" s="92" t="str">
        <f ca="1">IF(EB.Anwendung&lt;&gt;"",IF(EB.Wochenarbeitszeit=50/24,INDEX(T.Pikett.Bereich,1),IF(DAY(I$10)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H34="B",INDEX(T.Pikett.Bereich,4),IF(H34="E",INDEX(T.Pikett.Bereich,1),H34)))),"")</f>
        <v>No</v>
      </c>
      <c r="J34" s="92" t="str">
        <f ca="1">IF(EB.Anwendung&lt;&gt;"",IF(EB.Wochenarbeitszeit=50/24,INDEX(T.Pikett.Bereich,1),IF(DAY(J$10)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I34="B",INDEX(T.Pikett.Bereich,4),IF(I34="E",INDEX(T.Pikett.Bereich,1),I34)))),"")</f>
        <v>No</v>
      </c>
      <c r="K34" s="92" t="str">
        <f ca="1">IF(EB.Anwendung&lt;&gt;"",IF(EB.Wochenarbeitszeit=50/24,INDEX(T.Pikett.Bereich,1),IF(DAY(K$10)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J34="B",INDEX(T.Pikett.Bereich,4),IF(J34="E",INDEX(T.Pikett.Bereich,1),J34)))),"")</f>
        <v>No</v>
      </c>
      <c r="L34" s="92" t="str">
        <f ca="1">IF(EB.Anwendung&lt;&gt;"",IF(EB.Wochenarbeitszeit=50/24,INDEX(T.Pikett.Bereich,1),IF(DAY(L$10)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K34="B",INDEX(T.Pikett.Bereich,4),IF(K34="E",INDEX(T.Pikett.Bereich,1),K34)))),"")</f>
        <v>No</v>
      </c>
      <c r="M34" s="92" t="str">
        <f ca="1">IF(EB.Anwendung&lt;&gt;"",IF(EB.Wochenarbeitszeit=50/24,INDEX(T.Pikett.Bereich,1),IF(DAY(M$10)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L34="B",INDEX(T.Pikett.Bereich,4),IF(L34="E",INDEX(T.Pikett.Bereich,1),L34)))),"")</f>
        <v>No</v>
      </c>
      <c r="N34" s="92" t="str">
        <f ca="1">IF(EB.Anwendung&lt;&gt;"",IF(EB.Wochenarbeitszeit=50/24,INDEX(T.Pikett.Bereich,1),IF(DAY(N$10)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M34="B",INDEX(T.Pikett.Bereich,4),IF(M34="E",INDEX(T.Pikett.Bereich,1),M34)))),"")</f>
        <v>No</v>
      </c>
      <c r="O34" s="92" t="str">
        <f ca="1">IF(EB.Anwendung&lt;&gt;"",IF(EB.Wochenarbeitszeit=50/24,INDEX(T.Pikett.Bereich,1),IF(DAY(O$10)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N34="B",INDEX(T.Pikett.Bereich,4),IF(N34="E",INDEX(T.Pikett.Bereich,1),N34)))),"")</f>
        <v>No</v>
      </c>
      <c r="P34" s="92" t="str">
        <f ca="1">IF(EB.Anwendung&lt;&gt;"",IF(EB.Wochenarbeitszeit=50/24,INDEX(T.Pikett.Bereich,1),IF(DAY(P$10)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O34="B",INDEX(T.Pikett.Bereich,4),IF(O34="E",INDEX(T.Pikett.Bereich,1),O34)))),"")</f>
        <v>No</v>
      </c>
      <c r="Q34" s="92" t="str">
        <f ca="1">IF(EB.Anwendung&lt;&gt;"",IF(EB.Wochenarbeitszeit=50/24,INDEX(T.Pikett.Bereich,1),IF(DAY(Q$10)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P34="B",INDEX(T.Pikett.Bereich,4),IF(P34="E",INDEX(T.Pikett.Bereich,1),P34)))),"")</f>
        <v>No</v>
      </c>
      <c r="R34" s="92" t="str">
        <f ca="1">IF(EB.Anwendung&lt;&gt;"",IF(EB.Wochenarbeitszeit=50/24,INDEX(T.Pikett.Bereich,1),IF(DAY(R$10)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Q34="B",INDEX(T.Pikett.Bereich,4),IF(Q34="E",INDEX(T.Pikett.Bereich,1),Q34)))),"")</f>
        <v>No</v>
      </c>
      <c r="S34" s="92" t="str">
        <f ca="1">IF(EB.Anwendung&lt;&gt;"",IF(EB.Wochenarbeitszeit=50/24,INDEX(T.Pikett.Bereich,1),IF(DAY(S$10)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R34="B",INDEX(T.Pikett.Bereich,4),IF(R34="E",INDEX(T.Pikett.Bereich,1),R34)))),"")</f>
        <v>No</v>
      </c>
      <c r="T34" s="92" t="str">
        <f ca="1">IF(EB.Anwendung&lt;&gt;"",IF(EB.Wochenarbeitszeit=50/24,INDEX(T.Pikett.Bereich,1),IF(DAY(T$10)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S34="B",INDEX(T.Pikett.Bereich,4),IF(S34="E",INDEX(T.Pikett.Bereich,1),S34)))),"")</f>
        <v>No</v>
      </c>
      <c r="U34" s="92" t="str">
        <f ca="1">IF(EB.Anwendung&lt;&gt;"",IF(EB.Wochenarbeitszeit=50/24,INDEX(T.Pikett.Bereich,1),IF(DAY(U$10)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T34="B",INDEX(T.Pikett.Bereich,4),IF(T34="E",INDEX(T.Pikett.Bereich,1),T34)))),"")</f>
        <v>No</v>
      </c>
      <c r="V34" s="92" t="str">
        <f ca="1">IF(EB.Anwendung&lt;&gt;"",IF(EB.Wochenarbeitszeit=50/24,INDEX(T.Pikett.Bereich,1),IF(DAY(V$10)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U34="B",INDEX(T.Pikett.Bereich,4),IF(U34="E",INDEX(T.Pikett.Bereich,1),U34)))),"")</f>
        <v>No</v>
      </c>
      <c r="W34" s="92" t="str">
        <f ca="1">IF(EB.Anwendung&lt;&gt;"",IF(EB.Wochenarbeitszeit=50/24,INDEX(T.Pikett.Bereich,1),IF(DAY(W$10)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V34="B",INDEX(T.Pikett.Bereich,4),IF(V34="E",INDEX(T.Pikett.Bereich,1),V34)))),"")</f>
        <v>No</v>
      </c>
      <c r="X34" s="92" t="str">
        <f ca="1">IF(EB.Anwendung&lt;&gt;"",IF(EB.Wochenarbeitszeit=50/24,INDEX(T.Pikett.Bereich,1),IF(DAY(X$10)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W34="B",INDEX(T.Pikett.Bereich,4),IF(W34="E",INDEX(T.Pikett.Bereich,1),W34)))),"")</f>
        <v>No</v>
      </c>
      <c r="Y34" s="92" t="str">
        <f ca="1">IF(EB.Anwendung&lt;&gt;"",IF(EB.Wochenarbeitszeit=50/24,INDEX(T.Pikett.Bereich,1),IF(DAY(Y$10)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X34="B",INDEX(T.Pikett.Bereich,4),IF(X34="E",INDEX(T.Pikett.Bereich,1),X34)))),"")</f>
        <v>No</v>
      </c>
      <c r="Z34" s="92" t="str">
        <f ca="1">IF(EB.Anwendung&lt;&gt;"",IF(EB.Wochenarbeitszeit=50/24,INDEX(T.Pikett.Bereich,1),IF(DAY(Z$10)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Y34="B",INDEX(T.Pikett.Bereich,4),IF(Y34="E",INDEX(T.Pikett.Bereich,1),Y34)))),"")</f>
        <v>No</v>
      </c>
      <c r="AA34" s="92" t="str">
        <f ca="1">IF(EB.Anwendung&lt;&gt;"",IF(EB.Wochenarbeitszeit=50/24,INDEX(T.Pikett.Bereich,1),IF(DAY(AA$10)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Z34="B",INDEX(T.Pikett.Bereich,4),IF(Z34="E",INDEX(T.Pikett.Bereich,1),Z34)))),"")</f>
        <v>No</v>
      </c>
      <c r="AB34" s="92" t="str">
        <f ca="1">IF(EB.Anwendung&lt;&gt;"",IF(EB.Wochenarbeitszeit=50/24,INDEX(T.Pikett.Bereich,1),IF(DAY(A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A34="B",INDEX(T.Pikett.Bereich,4),IF(AA34="E",INDEX(T.Pikett.Bereich,1),AA34)))),"")</f>
        <v>No</v>
      </c>
      <c r="AC34" s="92" t="str">
        <f ca="1">IF(EB.Anwendung&lt;&gt;"",IF(EB.Wochenarbeitszeit=50/24,INDEX(T.Pikett.Bereich,1),IF(DAY(A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B34="B",INDEX(T.Pikett.Bereich,4),IF(AB34="E",INDEX(T.Pikett.Bereich,1),AB34)))),"")</f>
        <v>No</v>
      </c>
      <c r="AD34" s="92" t="str">
        <f ca="1">IF(EB.Anwendung&lt;&gt;"",IF(EB.Wochenarbeitszeit=50/24,INDEX(T.Pikett.Bereich,1),IF(DAY(A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C34="B",INDEX(T.Pikett.Bereich,4),IF(AC34="E",INDEX(T.Pikett.Bereich,1),AC34)))),"")</f>
        <v>No</v>
      </c>
      <c r="AE34" s="92" t="str">
        <f ca="1">IF(EB.Anwendung&lt;&gt;"",IF(EB.Wochenarbeitszeit=50/24,INDEX(T.Pikett.Bereich,1),IF(DAY(A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D34="B",INDEX(T.Pikett.Bereich,4),IF(AD34="E",INDEX(T.Pikett.Bereich,1),AD34)))),"")</f>
        <v>No</v>
      </c>
      <c r="AF34" s="217" t="str">
        <f ca="1">IF(OFFSET(B34,0,DAY(EOMONTH(Monat.Tag1,0))-1,1,1)="B",INDEX(T.Pikett.Bereich,4),IF(OFFSET(B34,0,DAY(EOMONTH(Monat.Tag1,0))-1,1,1)="E",INDEX(T.Pikett.Bereich,1),OFFSET(B34,0,DAY(EOMONTH(Monat.Tag1,0))-1,1,1)))</f>
        <v>No</v>
      </c>
      <c r="AG34" s="228"/>
      <c r="AH34" s="224"/>
      <c r="AI34" s="229" t="str">
        <f ca="1">IF(T.50_Vetsuisse,IFERROR(SUMPRODUCT((B34:AE34=INDEX(T.Pikett.Bereich,4))*((B49:AE49)&lt;1/24*5)),0) &amp; " / " &amp; IFERROR(SUMPRODUCT((B34:AE34=INDEX(T.Pikett.Bereich,4))*((B49:AE49)&gt;=1/24*5)),0) &amp; " / " &amp; IFERROR(SUMPRODUCT((B34:AE34=INDEX(T.Pikett.Bereich,4))*((B49:AE49)&lt;1/24*5)),0) + IFERROR(SUMPRODUCT((B34:AE34=INDEX(T.Pikett.Bereich,4))*((B49:AE49)&gt;=1/24*5)),0),
IFERROR(SUMPRODUCT((B34:AE34=INDEX(T.Pikett.Bereich,4))*(WEEKDAY(B10:AE10,2)&lt;6)*(B11:AE11&lt;&gt;0)),0) &amp; " / " &amp; IFERROR(SUMPRODUCT((B34:AE34=INDEX(T.Pikett.Bereich,4))*(WEEKDAY(B10:AE10,2)&gt;5)*(B11:AE11&lt;&gt;0))+SUMPRODUCT((B34:AE34=INDEX(T.Pikett.Bereich,4))*(B11:AE11=0)),0) &amp; " / " &amp; IFERROR(SUMPRODUCT((B34:AE34=INDEX(T.Pikett.Bereich,4))*(WEEKDAY(B10:AE10,2)&lt;6)*(B11:AE11&lt;&gt;0)),0) + IFERROR(SUMPRODUCT((B34:AE34=INDEX(T.Pikett.Bereich,4))*(WEEKDAY(B10:AE10,2)&gt;5)*(B11:AE11&lt;&gt;0))+SUMPRODUCT((B34:AE34=INDEX(T.Pikett.Bereich,4))*(B11:AE11=0)),0))</f>
        <v>0 / 0 / 0</v>
      </c>
      <c r="AJ34" s="209"/>
      <c r="AK34" s="209"/>
      <c r="AL34" s="209"/>
      <c r="AM34" s="208"/>
      <c r="AN34" s="209"/>
      <c r="AO34" s="209"/>
      <c r="AP34" s="119"/>
    </row>
    <row r="35" spans="1:42" s="38" customFormat="1" ht="15" customHeight="1" outlineLevel="1" x14ac:dyDescent="0.2">
      <c r="A35" s="212" t="s">
        <v>74</v>
      </c>
      <c r="B35" s="40"/>
      <c r="C35" s="40"/>
      <c r="D35" s="40"/>
      <c r="E35" s="27"/>
      <c r="F35" s="40"/>
      <c r="G35" s="40"/>
      <c r="H35" s="40"/>
      <c r="I35" s="40"/>
      <c r="J35" s="27"/>
      <c r="K35" s="40"/>
      <c r="L35" s="27"/>
      <c r="M35" s="40"/>
      <c r="N35" s="40"/>
      <c r="O35" s="40"/>
      <c r="P35" s="40"/>
      <c r="Q35" s="27"/>
      <c r="R35" s="40"/>
      <c r="S35" s="27"/>
      <c r="T35" s="27"/>
      <c r="U35" s="40"/>
      <c r="V35" s="40"/>
      <c r="W35" s="40"/>
      <c r="X35" s="27"/>
      <c r="Y35" s="40"/>
      <c r="Z35" s="39"/>
      <c r="AA35" s="40"/>
      <c r="AB35" s="40"/>
      <c r="AC35" s="40"/>
      <c r="AD35" s="40"/>
      <c r="AE35" s="27"/>
      <c r="AF35" s="205" t="str">
        <f t="shared" ref="AF35:AF45" si="8">A35</f>
        <v>in</v>
      </c>
      <c r="AG35" s="188"/>
      <c r="AH35" s="213"/>
      <c r="AI35" s="214"/>
      <c r="AJ35" s="209"/>
      <c r="AK35" s="209"/>
      <c r="AL35" s="209"/>
      <c r="AM35" s="208"/>
      <c r="AN35" s="209"/>
      <c r="AO35" s="209"/>
      <c r="AP35" s="119"/>
    </row>
    <row r="36" spans="1:42" s="38" customFormat="1" ht="15" customHeight="1" outlineLevel="1" x14ac:dyDescent="0.2">
      <c r="A36" s="212" t="s">
        <v>75</v>
      </c>
      <c r="B36" s="40"/>
      <c r="C36" s="40"/>
      <c r="D36" s="40"/>
      <c r="E36" s="27"/>
      <c r="F36" s="40"/>
      <c r="G36" s="40"/>
      <c r="H36" s="40"/>
      <c r="I36" s="40"/>
      <c r="J36" s="27"/>
      <c r="K36" s="40"/>
      <c r="L36" s="27"/>
      <c r="M36" s="40"/>
      <c r="N36" s="40"/>
      <c r="O36" s="40"/>
      <c r="P36" s="40"/>
      <c r="Q36" s="27"/>
      <c r="R36" s="40"/>
      <c r="S36" s="27"/>
      <c r="T36" s="27"/>
      <c r="U36" s="40"/>
      <c r="V36" s="40"/>
      <c r="W36" s="40"/>
      <c r="X36" s="27"/>
      <c r="Y36" s="40"/>
      <c r="Z36" s="39"/>
      <c r="AA36" s="40"/>
      <c r="AB36" s="40"/>
      <c r="AC36" s="40"/>
      <c r="AD36" s="40"/>
      <c r="AE36" s="27"/>
      <c r="AF36" s="205" t="str">
        <f t="shared" si="8"/>
        <v>out</v>
      </c>
      <c r="AG36" s="188"/>
      <c r="AH36" s="213"/>
      <c r="AI36" s="214"/>
      <c r="AJ36" s="209"/>
      <c r="AK36" s="209"/>
      <c r="AL36" s="209"/>
      <c r="AM36" s="208"/>
      <c r="AN36" s="209"/>
      <c r="AO36" s="209"/>
      <c r="AP36" s="119"/>
    </row>
    <row r="37" spans="1:42" s="38" customFormat="1" ht="15" customHeight="1" outlineLevel="1" x14ac:dyDescent="0.2">
      <c r="A37" s="212" t="s">
        <v>74</v>
      </c>
      <c r="B37" s="40"/>
      <c r="C37" s="40"/>
      <c r="D37" s="40"/>
      <c r="E37" s="27"/>
      <c r="F37" s="40"/>
      <c r="G37" s="40"/>
      <c r="H37" s="40"/>
      <c r="I37" s="40"/>
      <c r="J37" s="27"/>
      <c r="K37" s="40"/>
      <c r="L37" s="27"/>
      <c r="M37" s="40"/>
      <c r="N37" s="40"/>
      <c r="O37" s="40"/>
      <c r="P37" s="40"/>
      <c r="Q37" s="27"/>
      <c r="R37" s="40"/>
      <c r="S37" s="27"/>
      <c r="T37" s="27"/>
      <c r="U37" s="40"/>
      <c r="V37" s="40"/>
      <c r="W37" s="40"/>
      <c r="X37" s="27"/>
      <c r="Y37" s="40"/>
      <c r="Z37" s="39"/>
      <c r="AA37" s="40"/>
      <c r="AB37" s="40"/>
      <c r="AC37" s="40"/>
      <c r="AD37" s="40"/>
      <c r="AE37" s="27"/>
      <c r="AF37" s="205" t="str">
        <f t="shared" si="8"/>
        <v>in</v>
      </c>
      <c r="AG37" s="188"/>
      <c r="AH37" s="213"/>
      <c r="AI37" s="214"/>
      <c r="AJ37" s="209"/>
      <c r="AK37" s="209"/>
      <c r="AL37" s="209"/>
      <c r="AM37" s="208"/>
      <c r="AN37" s="209"/>
      <c r="AO37" s="209"/>
      <c r="AP37" s="119"/>
    </row>
    <row r="38" spans="1:42" s="38" customFormat="1" ht="15" customHeight="1" outlineLevel="1" x14ac:dyDescent="0.2">
      <c r="A38" s="212" t="s">
        <v>75</v>
      </c>
      <c r="B38" s="40"/>
      <c r="C38" s="40"/>
      <c r="D38" s="40"/>
      <c r="E38" s="27"/>
      <c r="F38" s="40"/>
      <c r="G38" s="40"/>
      <c r="H38" s="40"/>
      <c r="I38" s="40"/>
      <c r="J38" s="27"/>
      <c r="K38" s="40"/>
      <c r="L38" s="27"/>
      <c r="M38" s="40"/>
      <c r="N38" s="40"/>
      <c r="O38" s="40"/>
      <c r="P38" s="40"/>
      <c r="Q38" s="27"/>
      <c r="R38" s="40"/>
      <c r="S38" s="27"/>
      <c r="T38" s="27"/>
      <c r="U38" s="40"/>
      <c r="V38" s="40"/>
      <c r="W38" s="40"/>
      <c r="X38" s="27"/>
      <c r="Y38" s="40"/>
      <c r="Z38" s="39"/>
      <c r="AA38" s="40"/>
      <c r="AB38" s="40"/>
      <c r="AC38" s="40"/>
      <c r="AD38" s="40"/>
      <c r="AE38" s="27"/>
      <c r="AF38" s="205" t="str">
        <f t="shared" si="8"/>
        <v>out</v>
      </c>
      <c r="AG38" s="188"/>
      <c r="AH38" s="213"/>
      <c r="AI38" s="214"/>
      <c r="AJ38" s="209"/>
      <c r="AK38" s="209"/>
      <c r="AL38" s="209"/>
      <c r="AM38" s="208"/>
      <c r="AN38" s="209"/>
      <c r="AO38" s="209"/>
      <c r="AP38" s="119"/>
    </row>
    <row r="39" spans="1:42" s="38" customFormat="1" ht="15" customHeight="1" outlineLevel="1" x14ac:dyDescent="0.2">
      <c r="A39" s="212" t="s">
        <v>74</v>
      </c>
      <c r="B39" s="40"/>
      <c r="C39" s="40"/>
      <c r="D39" s="40"/>
      <c r="E39" s="27"/>
      <c r="F39" s="40"/>
      <c r="G39" s="40"/>
      <c r="H39" s="40"/>
      <c r="I39" s="40"/>
      <c r="J39" s="27"/>
      <c r="K39" s="40"/>
      <c r="L39" s="27"/>
      <c r="M39" s="40"/>
      <c r="N39" s="40"/>
      <c r="O39" s="40"/>
      <c r="P39" s="40"/>
      <c r="Q39" s="27"/>
      <c r="R39" s="40"/>
      <c r="S39" s="27"/>
      <c r="T39" s="27"/>
      <c r="U39" s="40"/>
      <c r="V39" s="40"/>
      <c r="W39" s="40"/>
      <c r="X39" s="27"/>
      <c r="Y39" s="40"/>
      <c r="Z39" s="39"/>
      <c r="AA39" s="40"/>
      <c r="AB39" s="40"/>
      <c r="AC39" s="40"/>
      <c r="AD39" s="40"/>
      <c r="AE39" s="27"/>
      <c r="AF39" s="205" t="str">
        <f t="shared" si="8"/>
        <v>in</v>
      </c>
      <c r="AG39" s="188"/>
      <c r="AH39" s="213"/>
      <c r="AI39" s="214"/>
      <c r="AJ39" s="209"/>
      <c r="AK39" s="209"/>
      <c r="AL39" s="209"/>
      <c r="AM39" s="208"/>
      <c r="AN39" s="209"/>
      <c r="AO39" s="209"/>
      <c r="AP39" s="119"/>
    </row>
    <row r="40" spans="1:42" s="38" customFormat="1" ht="15" customHeight="1" outlineLevel="1" x14ac:dyDescent="0.2">
      <c r="A40" s="212" t="s">
        <v>75</v>
      </c>
      <c r="B40" s="40"/>
      <c r="C40" s="40"/>
      <c r="D40" s="40"/>
      <c r="E40" s="27"/>
      <c r="F40" s="40"/>
      <c r="G40" s="40"/>
      <c r="H40" s="40"/>
      <c r="I40" s="40"/>
      <c r="J40" s="27"/>
      <c r="K40" s="40"/>
      <c r="L40" s="27"/>
      <c r="M40" s="40"/>
      <c r="N40" s="40"/>
      <c r="O40" s="40"/>
      <c r="P40" s="40"/>
      <c r="Q40" s="27"/>
      <c r="R40" s="40"/>
      <c r="S40" s="27"/>
      <c r="T40" s="27"/>
      <c r="U40" s="40"/>
      <c r="V40" s="40"/>
      <c r="W40" s="40"/>
      <c r="X40" s="27"/>
      <c r="Y40" s="40"/>
      <c r="Z40" s="39"/>
      <c r="AA40" s="40"/>
      <c r="AB40" s="40"/>
      <c r="AC40" s="40"/>
      <c r="AD40" s="40"/>
      <c r="AE40" s="27"/>
      <c r="AF40" s="205" t="str">
        <f t="shared" si="8"/>
        <v>out</v>
      </c>
      <c r="AG40" s="188"/>
      <c r="AH40" s="213"/>
      <c r="AI40" s="214"/>
      <c r="AJ40" s="209"/>
      <c r="AK40" s="209"/>
      <c r="AL40" s="209"/>
      <c r="AM40" s="208"/>
      <c r="AN40" s="209"/>
      <c r="AO40" s="209"/>
      <c r="AP40" s="119"/>
    </row>
    <row r="41" spans="1:42" s="38" customFormat="1" ht="15" hidden="1" customHeight="1" outlineLevel="1" x14ac:dyDescent="0.2">
      <c r="A41" s="212" t="s">
        <v>74</v>
      </c>
      <c r="B41" s="40"/>
      <c r="C41" s="40"/>
      <c r="D41" s="40"/>
      <c r="E41" s="27"/>
      <c r="F41" s="40"/>
      <c r="G41" s="40"/>
      <c r="H41" s="40"/>
      <c r="I41" s="40"/>
      <c r="J41" s="27"/>
      <c r="K41" s="40"/>
      <c r="L41" s="27"/>
      <c r="M41" s="40"/>
      <c r="N41" s="40"/>
      <c r="O41" s="40"/>
      <c r="P41" s="40"/>
      <c r="Q41" s="27"/>
      <c r="R41" s="40"/>
      <c r="S41" s="27"/>
      <c r="T41" s="27"/>
      <c r="U41" s="40"/>
      <c r="V41" s="40"/>
      <c r="W41" s="40"/>
      <c r="X41" s="27"/>
      <c r="Y41" s="40"/>
      <c r="Z41" s="39"/>
      <c r="AA41" s="40"/>
      <c r="AB41" s="40"/>
      <c r="AC41" s="40"/>
      <c r="AD41" s="40"/>
      <c r="AE41" s="27"/>
      <c r="AF41" s="205" t="str">
        <f t="shared" si="8"/>
        <v>in</v>
      </c>
      <c r="AG41" s="188"/>
      <c r="AH41" s="213"/>
      <c r="AI41" s="214"/>
      <c r="AJ41" s="209"/>
      <c r="AK41" s="209"/>
      <c r="AL41" s="209"/>
      <c r="AM41" s="208"/>
      <c r="AN41" s="209"/>
      <c r="AO41" s="209"/>
      <c r="AP41" s="119"/>
    </row>
    <row r="42" spans="1:42" s="38" customFormat="1" ht="15" hidden="1" customHeight="1" outlineLevel="1" x14ac:dyDescent="0.2">
      <c r="A42" s="212" t="s">
        <v>75</v>
      </c>
      <c r="B42" s="40"/>
      <c r="C42" s="40"/>
      <c r="D42" s="40"/>
      <c r="E42" s="27"/>
      <c r="F42" s="40"/>
      <c r="G42" s="40"/>
      <c r="H42" s="40"/>
      <c r="I42" s="40"/>
      <c r="J42" s="27"/>
      <c r="K42" s="40"/>
      <c r="L42" s="27"/>
      <c r="M42" s="40"/>
      <c r="N42" s="40"/>
      <c r="O42" s="40"/>
      <c r="P42" s="40"/>
      <c r="Q42" s="27"/>
      <c r="R42" s="40"/>
      <c r="S42" s="27"/>
      <c r="T42" s="27"/>
      <c r="U42" s="40"/>
      <c r="V42" s="40"/>
      <c r="W42" s="40"/>
      <c r="X42" s="27"/>
      <c r="Y42" s="40"/>
      <c r="Z42" s="39"/>
      <c r="AA42" s="40"/>
      <c r="AB42" s="40"/>
      <c r="AC42" s="40"/>
      <c r="AD42" s="40"/>
      <c r="AE42" s="27"/>
      <c r="AF42" s="205" t="str">
        <f t="shared" si="8"/>
        <v>out</v>
      </c>
      <c r="AG42" s="188"/>
      <c r="AH42" s="213"/>
      <c r="AI42" s="214"/>
      <c r="AJ42" s="209"/>
      <c r="AK42" s="209"/>
      <c r="AL42" s="209"/>
      <c r="AM42" s="208"/>
      <c r="AN42" s="209"/>
      <c r="AO42" s="209"/>
      <c r="AP42" s="119"/>
    </row>
    <row r="43" spans="1:42" s="38" customFormat="1" ht="15" hidden="1" customHeight="1" outlineLevel="1" x14ac:dyDescent="0.2">
      <c r="A43" s="212" t="s">
        <v>74</v>
      </c>
      <c r="B43" s="40"/>
      <c r="C43" s="40"/>
      <c r="D43" s="40"/>
      <c r="E43" s="27"/>
      <c r="F43" s="40"/>
      <c r="G43" s="40"/>
      <c r="H43" s="40"/>
      <c r="I43" s="40"/>
      <c r="J43" s="27"/>
      <c r="K43" s="40"/>
      <c r="L43" s="27"/>
      <c r="M43" s="40"/>
      <c r="N43" s="40"/>
      <c r="O43" s="40"/>
      <c r="P43" s="40"/>
      <c r="Q43" s="27"/>
      <c r="R43" s="40"/>
      <c r="S43" s="27"/>
      <c r="T43" s="27"/>
      <c r="U43" s="40"/>
      <c r="V43" s="40"/>
      <c r="W43" s="40"/>
      <c r="X43" s="27"/>
      <c r="Y43" s="40"/>
      <c r="Z43" s="39"/>
      <c r="AA43" s="40"/>
      <c r="AB43" s="40"/>
      <c r="AC43" s="40"/>
      <c r="AD43" s="40"/>
      <c r="AE43" s="27"/>
      <c r="AF43" s="205" t="str">
        <f t="shared" si="8"/>
        <v>in</v>
      </c>
      <c r="AG43" s="188"/>
      <c r="AH43" s="213"/>
      <c r="AI43" s="214"/>
      <c r="AJ43" s="209"/>
      <c r="AK43" s="209"/>
      <c r="AL43" s="209"/>
      <c r="AM43" s="208"/>
      <c r="AN43" s="209"/>
      <c r="AO43" s="209"/>
      <c r="AP43" s="119"/>
    </row>
    <row r="44" spans="1:42" s="38" customFormat="1" ht="15" hidden="1" customHeight="1" outlineLevel="1" x14ac:dyDescent="0.2">
      <c r="A44" s="212" t="s">
        <v>75</v>
      </c>
      <c r="B44" s="40"/>
      <c r="C44" s="40"/>
      <c r="D44" s="40"/>
      <c r="E44" s="27"/>
      <c r="F44" s="40"/>
      <c r="G44" s="40"/>
      <c r="H44" s="40"/>
      <c r="I44" s="40"/>
      <c r="J44" s="27"/>
      <c r="K44" s="40"/>
      <c r="L44" s="27"/>
      <c r="M44" s="40"/>
      <c r="N44" s="40"/>
      <c r="O44" s="40"/>
      <c r="P44" s="40"/>
      <c r="Q44" s="27"/>
      <c r="R44" s="40"/>
      <c r="S44" s="27"/>
      <c r="T44" s="27"/>
      <c r="U44" s="40"/>
      <c r="V44" s="40"/>
      <c r="W44" s="40"/>
      <c r="X44" s="27"/>
      <c r="Y44" s="40"/>
      <c r="Z44" s="39"/>
      <c r="AA44" s="40"/>
      <c r="AB44" s="40"/>
      <c r="AC44" s="40"/>
      <c r="AD44" s="40"/>
      <c r="AE44" s="27"/>
      <c r="AF44" s="205" t="str">
        <f t="shared" si="8"/>
        <v>out</v>
      </c>
      <c r="AG44" s="188"/>
      <c r="AH44" s="213"/>
      <c r="AI44" s="214"/>
      <c r="AJ44" s="209"/>
      <c r="AK44" s="209"/>
      <c r="AL44" s="209"/>
      <c r="AM44" s="208"/>
      <c r="AN44" s="209"/>
      <c r="AO44" s="209"/>
      <c r="AP44" s="119"/>
    </row>
    <row r="45" spans="1:42" s="38" customFormat="1" ht="15" customHeight="1" outlineLevel="1" x14ac:dyDescent="0.2">
      <c r="A45" s="215" t="s">
        <v>207</v>
      </c>
      <c r="B45" s="216">
        <f>ROUND(((B36-B35)+(B38-B37)+(B40-B39)+(B42-B41)+(B44-B43))*1440,0)/1440</f>
        <v>0</v>
      </c>
      <c r="C45" s="216">
        <f t="shared" ref="C45:AE45" si="9">ROUND(((C36-C35)+(C38-C37)+(C40-C39)+(C42-C41)+(C44-C43))*1440,0)/1440</f>
        <v>0</v>
      </c>
      <c r="D45" s="216">
        <f t="shared" si="9"/>
        <v>0</v>
      </c>
      <c r="E45" s="216">
        <f t="shared" si="9"/>
        <v>0</v>
      </c>
      <c r="F45" s="216">
        <f t="shared" si="9"/>
        <v>0</v>
      </c>
      <c r="G45" s="216">
        <f t="shared" si="9"/>
        <v>0</v>
      </c>
      <c r="H45" s="216">
        <f t="shared" si="9"/>
        <v>0</v>
      </c>
      <c r="I45" s="216">
        <f t="shared" si="9"/>
        <v>0</v>
      </c>
      <c r="J45" s="216">
        <f t="shared" si="9"/>
        <v>0</v>
      </c>
      <c r="K45" s="216">
        <f t="shared" si="9"/>
        <v>0</v>
      </c>
      <c r="L45" s="216">
        <f t="shared" si="9"/>
        <v>0</v>
      </c>
      <c r="M45" s="216">
        <f t="shared" si="9"/>
        <v>0</v>
      </c>
      <c r="N45" s="216">
        <f t="shared" si="9"/>
        <v>0</v>
      </c>
      <c r="O45" s="216">
        <f t="shared" si="9"/>
        <v>0</v>
      </c>
      <c r="P45" s="216">
        <f t="shared" si="9"/>
        <v>0</v>
      </c>
      <c r="Q45" s="216">
        <f t="shared" si="9"/>
        <v>0</v>
      </c>
      <c r="R45" s="216">
        <f t="shared" si="9"/>
        <v>0</v>
      </c>
      <c r="S45" s="216">
        <f t="shared" si="9"/>
        <v>0</v>
      </c>
      <c r="T45" s="216">
        <f t="shared" si="9"/>
        <v>0</v>
      </c>
      <c r="U45" s="216">
        <f t="shared" si="9"/>
        <v>0</v>
      </c>
      <c r="V45" s="216">
        <f t="shared" si="9"/>
        <v>0</v>
      </c>
      <c r="W45" s="216">
        <f t="shared" si="9"/>
        <v>0</v>
      </c>
      <c r="X45" s="216">
        <f t="shared" si="9"/>
        <v>0</v>
      </c>
      <c r="Y45" s="216">
        <f t="shared" si="9"/>
        <v>0</v>
      </c>
      <c r="Z45" s="216">
        <f t="shared" si="9"/>
        <v>0</v>
      </c>
      <c r="AA45" s="216">
        <f t="shared" si="9"/>
        <v>0</v>
      </c>
      <c r="AB45" s="216">
        <f t="shared" si="9"/>
        <v>0</v>
      </c>
      <c r="AC45" s="216">
        <f t="shared" si="9"/>
        <v>0</v>
      </c>
      <c r="AD45" s="216">
        <f t="shared" si="9"/>
        <v>0</v>
      </c>
      <c r="AE45" s="216">
        <f t="shared" si="9"/>
        <v>0</v>
      </c>
      <c r="AF45" s="217" t="str">
        <f t="shared" si="8"/>
        <v>Total on call standby in/out</v>
      </c>
      <c r="AG45" s="218"/>
      <c r="AH45" s="219">
        <f>SUM(B45:AE45)</f>
        <v>0</v>
      </c>
      <c r="AI45" s="214"/>
      <c r="AJ45" s="209"/>
      <c r="AK45" s="209"/>
      <c r="AL45" s="209"/>
      <c r="AM45" s="208"/>
      <c r="AN45" s="209"/>
      <c r="AO45" s="209"/>
      <c r="AP45" s="119"/>
    </row>
    <row r="46" spans="1:42" s="38" customFormat="1" ht="3.75" customHeight="1" x14ac:dyDescent="0.2">
      <c r="A46" s="220"/>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205"/>
      <c r="AG46" s="188"/>
      <c r="AH46" s="213"/>
      <c r="AI46" s="214"/>
      <c r="AJ46" s="209"/>
      <c r="AK46" s="209"/>
      <c r="AL46" s="209"/>
      <c r="AM46" s="208"/>
      <c r="AN46" s="209"/>
      <c r="AO46" s="209"/>
      <c r="AP46" s="119"/>
    </row>
    <row r="47" spans="1:42" s="38" customFormat="1" ht="16.5" hidden="1" customHeight="1" outlineLevel="1" x14ac:dyDescent="0.2">
      <c r="A47" s="215" t="s">
        <v>209</v>
      </c>
      <c r="B47" s="216">
        <f t="shared" ref="B47:AE47" si="10">IF(B45&gt;0,ROUND((B45-
IF(B35&lt;T.PikettVetsuissebis,MIN(T.PikettVetsuissebis-B35,B36-B35)+IF(B37&lt;T.PikettVetsuissebis,MIN(T.PikettVetsuissebis-B37,B38-B37)+IF(B39&lt;T.PikettVetsuissebis,MIN(T.PikettVetsuissebis-B39,B40-B39)+IF(B41&lt;T.PikettVetsuissebis,MIN(T.PikettVetsuissebis-B41,B42-B41)+IF(B43&lt;T.PikettVetsuissebis,MIN(T.PikettVetsuissebis-B43,B44-B43),0),0),0),0),0))*1440,0)/1440,0)</f>
        <v>0</v>
      </c>
      <c r="C47" s="216">
        <f t="shared" si="10"/>
        <v>0</v>
      </c>
      <c r="D47" s="216">
        <f t="shared" si="10"/>
        <v>0</v>
      </c>
      <c r="E47" s="216">
        <f t="shared" si="10"/>
        <v>0</v>
      </c>
      <c r="F47" s="216">
        <f t="shared" si="10"/>
        <v>0</v>
      </c>
      <c r="G47" s="216">
        <f t="shared" si="10"/>
        <v>0</v>
      </c>
      <c r="H47" s="216">
        <f t="shared" si="10"/>
        <v>0</v>
      </c>
      <c r="I47" s="216">
        <f t="shared" si="10"/>
        <v>0</v>
      </c>
      <c r="J47" s="216">
        <f t="shared" si="10"/>
        <v>0</v>
      </c>
      <c r="K47" s="216">
        <f t="shared" si="10"/>
        <v>0</v>
      </c>
      <c r="L47" s="216">
        <f t="shared" si="10"/>
        <v>0</v>
      </c>
      <c r="M47" s="216">
        <f t="shared" si="10"/>
        <v>0</v>
      </c>
      <c r="N47" s="216">
        <f t="shared" si="10"/>
        <v>0</v>
      </c>
      <c r="O47" s="216">
        <f t="shared" si="10"/>
        <v>0</v>
      </c>
      <c r="P47" s="216">
        <f t="shared" si="10"/>
        <v>0</v>
      </c>
      <c r="Q47" s="216">
        <f t="shared" si="10"/>
        <v>0</v>
      </c>
      <c r="R47" s="216">
        <f t="shared" si="10"/>
        <v>0</v>
      </c>
      <c r="S47" s="216">
        <f t="shared" si="10"/>
        <v>0</v>
      </c>
      <c r="T47" s="216">
        <f t="shared" si="10"/>
        <v>0</v>
      </c>
      <c r="U47" s="216">
        <f t="shared" si="10"/>
        <v>0</v>
      </c>
      <c r="V47" s="216">
        <f t="shared" si="10"/>
        <v>0</v>
      </c>
      <c r="W47" s="216">
        <f t="shared" si="10"/>
        <v>0</v>
      </c>
      <c r="X47" s="216">
        <f t="shared" si="10"/>
        <v>0</v>
      </c>
      <c r="Y47" s="216">
        <f t="shared" si="10"/>
        <v>0</v>
      </c>
      <c r="Z47" s="216">
        <f t="shared" si="10"/>
        <v>0</v>
      </c>
      <c r="AA47" s="216">
        <f t="shared" si="10"/>
        <v>0</v>
      </c>
      <c r="AB47" s="216">
        <f t="shared" si="10"/>
        <v>0</v>
      </c>
      <c r="AC47" s="216">
        <f t="shared" si="10"/>
        <v>0</v>
      </c>
      <c r="AD47" s="216">
        <f t="shared" si="10"/>
        <v>0</v>
      </c>
      <c r="AE47" s="216">
        <f t="shared" si="10"/>
        <v>0</v>
      </c>
      <c r="AF47" s="217" t="str">
        <f>A47</f>
        <v>Total on call hours today</v>
      </c>
      <c r="AG47" s="188"/>
      <c r="AH47" s="213"/>
      <c r="AI47" s="214"/>
      <c r="AJ47" s="209"/>
      <c r="AK47" s="209"/>
      <c r="AL47" s="209"/>
      <c r="AM47" s="208"/>
      <c r="AN47" s="209"/>
      <c r="AO47" s="209"/>
      <c r="AP47" s="119"/>
    </row>
    <row r="48" spans="1:42" s="38" customFormat="1" ht="16.5" hidden="1" customHeight="1" outlineLevel="1" x14ac:dyDescent="0.2">
      <c r="A48" s="215" t="s">
        <v>208</v>
      </c>
      <c r="B48" s="225">
        <f t="shared" ref="B48:AE48" si="11">B45-B47</f>
        <v>0</v>
      </c>
      <c r="C48" s="225">
        <f t="shared" si="11"/>
        <v>0</v>
      </c>
      <c r="D48" s="225">
        <f t="shared" si="11"/>
        <v>0</v>
      </c>
      <c r="E48" s="225">
        <f t="shared" si="11"/>
        <v>0</v>
      </c>
      <c r="F48" s="225">
        <f t="shared" si="11"/>
        <v>0</v>
      </c>
      <c r="G48" s="225">
        <f t="shared" si="11"/>
        <v>0</v>
      </c>
      <c r="H48" s="225">
        <f t="shared" si="11"/>
        <v>0</v>
      </c>
      <c r="I48" s="225">
        <f t="shared" si="11"/>
        <v>0</v>
      </c>
      <c r="J48" s="225">
        <f t="shared" si="11"/>
        <v>0</v>
      </c>
      <c r="K48" s="225">
        <f t="shared" si="11"/>
        <v>0</v>
      </c>
      <c r="L48" s="225">
        <f t="shared" si="11"/>
        <v>0</v>
      </c>
      <c r="M48" s="225">
        <f t="shared" si="11"/>
        <v>0</v>
      </c>
      <c r="N48" s="225">
        <f t="shared" si="11"/>
        <v>0</v>
      </c>
      <c r="O48" s="225">
        <f t="shared" si="11"/>
        <v>0</v>
      </c>
      <c r="P48" s="225">
        <f t="shared" si="11"/>
        <v>0</v>
      </c>
      <c r="Q48" s="225">
        <f t="shared" si="11"/>
        <v>0</v>
      </c>
      <c r="R48" s="225">
        <f t="shared" si="11"/>
        <v>0</v>
      </c>
      <c r="S48" s="225">
        <f t="shared" si="11"/>
        <v>0</v>
      </c>
      <c r="T48" s="225">
        <f t="shared" si="11"/>
        <v>0</v>
      </c>
      <c r="U48" s="225">
        <f t="shared" si="11"/>
        <v>0</v>
      </c>
      <c r="V48" s="225">
        <f t="shared" si="11"/>
        <v>0</v>
      </c>
      <c r="W48" s="225">
        <f t="shared" si="11"/>
        <v>0</v>
      </c>
      <c r="X48" s="225">
        <f t="shared" si="11"/>
        <v>0</v>
      </c>
      <c r="Y48" s="225">
        <f t="shared" si="11"/>
        <v>0</v>
      </c>
      <c r="Z48" s="225">
        <f t="shared" si="11"/>
        <v>0</v>
      </c>
      <c r="AA48" s="225">
        <f t="shared" si="11"/>
        <v>0</v>
      </c>
      <c r="AB48" s="225">
        <f t="shared" si="11"/>
        <v>0</v>
      </c>
      <c r="AC48" s="225">
        <f t="shared" si="11"/>
        <v>0</v>
      </c>
      <c r="AD48" s="225">
        <f t="shared" si="11"/>
        <v>0</v>
      </c>
      <c r="AE48" s="225">
        <f t="shared" si="11"/>
        <v>0</v>
      </c>
      <c r="AF48" s="217" t="str">
        <f>A48</f>
        <v>Total on call hours yesterday</v>
      </c>
      <c r="AG48" s="188"/>
      <c r="AH48" s="213"/>
      <c r="AI48" s="214"/>
      <c r="AJ48" s="209"/>
      <c r="AK48" s="209"/>
      <c r="AL48" s="230">
        <f ca="1">IF(EB.Anwendung&lt;&gt;"",IF(MONTH(Monat.Tag1)=12,0,IF(MONTH(Monat.Tag1)=1,February!Monat.PikettgesternTag1,IF(MONTH(Monat.Tag1)=2,March!Monat.PikettgesternTag1,IF(MONTH(Monat.Tag1)=3,April!Monat.PikettgesternTag1,IF(MONTH(Monat.Tag1)=4,May!Monat.PikettgesternTag1,IF(MONTH(Monat.Tag1)=5,June!Monat.PikettgesternTag1,IF(MONTH(Monat.Tag1)=6,July!Monat.PikettgesternTag1,IF(MONTH(Monat.Tag1)=7,August!Monat.PikettgesternTag1,IF(MONTH(Monat.Tag1)=8,September!Monat.PikettgesternTag1,IF(MONTH(Monat.Tag1)=9,October!Monat.PikettgesternTag1,IF(MONTH(Monat.Tag1)=10,November!Monat.PikettgesternTag1,IF(MONTH(Monat.Tag1)=11,December!Monat.PikettgesternTag1,"")))))))))))),"")</f>
        <v>0</v>
      </c>
      <c r="AM48" s="208"/>
      <c r="AN48" s="209"/>
      <c r="AO48" s="209"/>
      <c r="AP48" s="119"/>
    </row>
    <row r="49" spans="1:42" s="38" customFormat="1" ht="16.5" hidden="1" customHeight="1" outlineLevel="1" x14ac:dyDescent="0.2">
      <c r="A49" s="215" t="s">
        <v>210</v>
      </c>
      <c r="B49" s="216">
        <f t="shared" ref="B49:AD49" si="12">B47+IF(B$10=EOMONTH(B$10,0),$AL48,C48)</f>
        <v>0</v>
      </c>
      <c r="C49" s="216">
        <f t="shared" si="12"/>
        <v>0</v>
      </c>
      <c r="D49" s="216">
        <f t="shared" si="12"/>
        <v>0</v>
      </c>
      <c r="E49" s="216">
        <f t="shared" si="12"/>
        <v>0</v>
      </c>
      <c r="F49" s="216">
        <f t="shared" si="12"/>
        <v>0</v>
      </c>
      <c r="G49" s="216">
        <f t="shared" si="12"/>
        <v>0</v>
      </c>
      <c r="H49" s="216">
        <f t="shared" si="12"/>
        <v>0</v>
      </c>
      <c r="I49" s="216">
        <f t="shared" si="12"/>
        <v>0</v>
      </c>
      <c r="J49" s="216">
        <f t="shared" si="12"/>
        <v>0</v>
      </c>
      <c r="K49" s="216">
        <f t="shared" si="12"/>
        <v>0</v>
      </c>
      <c r="L49" s="216">
        <f t="shared" si="12"/>
        <v>0</v>
      </c>
      <c r="M49" s="216">
        <f t="shared" si="12"/>
        <v>0</v>
      </c>
      <c r="N49" s="216">
        <f t="shared" si="12"/>
        <v>0</v>
      </c>
      <c r="O49" s="216">
        <f t="shared" si="12"/>
        <v>0</v>
      </c>
      <c r="P49" s="216">
        <f t="shared" si="12"/>
        <v>0</v>
      </c>
      <c r="Q49" s="216">
        <f t="shared" si="12"/>
        <v>0</v>
      </c>
      <c r="R49" s="216">
        <f t="shared" si="12"/>
        <v>0</v>
      </c>
      <c r="S49" s="216">
        <f t="shared" si="12"/>
        <v>0</v>
      </c>
      <c r="T49" s="216">
        <f t="shared" si="12"/>
        <v>0</v>
      </c>
      <c r="U49" s="216">
        <f t="shared" si="12"/>
        <v>0</v>
      </c>
      <c r="V49" s="216">
        <f t="shared" si="12"/>
        <v>0</v>
      </c>
      <c r="W49" s="216">
        <f t="shared" si="12"/>
        <v>0</v>
      </c>
      <c r="X49" s="216">
        <f t="shared" si="12"/>
        <v>0</v>
      </c>
      <c r="Y49" s="216">
        <f t="shared" si="12"/>
        <v>0</v>
      </c>
      <c r="Z49" s="216">
        <f t="shared" si="12"/>
        <v>0</v>
      </c>
      <c r="AA49" s="216">
        <f t="shared" si="12"/>
        <v>0</v>
      </c>
      <c r="AB49" s="216">
        <f t="shared" si="12"/>
        <v>0</v>
      </c>
      <c r="AC49" s="216">
        <f t="shared" si="12"/>
        <v>0</v>
      </c>
      <c r="AD49" s="216">
        <f t="shared" si="12"/>
        <v>0</v>
      </c>
      <c r="AE49" s="216">
        <f ca="1">AE47+IF(AE$10=EOMONTH(AE$10,0),$AL48,#REF!)</f>
        <v>0</v>
      </c>
      <c r="AF49" s="217" t="str">
        <f>A49</f>
        <v>Total on call standby hours</v>
      </c>
      <c r="AG49" s="218"/>
      <c r="AH49" s="219">
        <f ca="1">SUM(B49:AE49)</f>
        <v>0</v>
      </c>
      <c r="AI49" s="214"/>
      <c r="AJ49" s="209"/>
      <c r="AK49" s="209"/>
      <c r="AL49" s="209"/>
      <c r="AM49" s="208"/>
      <c r="AN49" s="209"/>
      <c r="AO49" s="209"/>
      <c r="AP49" s="119"/>
    </row>
    <row r="50" spans="1:42" s="38" customFormat="1" ht="3.75" customHeight="1" collapsed="1" x14ac:dyDescent="0.2">
      <c r="A50" s="231"/>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32"/>
      <c r="AG50" s="233"/>
      <c r="AH50" s="222"/>
      <c r="AI50" s="214"/>
      <c r="AJ50" s="209"/>
      <c r="AK50" s="209"/>
      <c r="AL50" s="209"/>
      <c r="AM50" s="208"/>
      <c r="AN50" s="209"/>
      <c r="AO50" s="209"/>
      <c r="AP50" s="119"/>
    </row>
    <row r="51" spans="1:42" s="38" customFormat="1" ht="15" customHeight="1" x14ac:dyDescent="0.2">
      <c r="A51" s="215" t="s">
        <v>76</v>
      </c>
      <c r="B51" s="234">
        <f>ROUND((B23+B45+B84+SUM(B86:B95)+IF(OR(T.50_Vetsuisse,T.ServiceCenterIrchel),B71,0))*1440,0)/1440</f>
        <v>0</v>
      </c>
      <c r="C51" s="234">
        <f t="shared" ref="C51:AE51" si="13">ROUND((C23+C45+C84+SUM(C86:C95)+IF(OR(T.50_Vetsuisse,T.ServiceCenterIrchel),C71,0))*1440,0)/1440</f>
        <v>0</v>
      </c>
      <c r="D51" s="234">
        <f t="shared" si="13"/>
        <v>0</v>
      </c>
      <c r="E51" s="235">
        <f t="shared" si="13"/>
        <v>0</v>
      </c>
      <c r="F51" s="234">
        <f t="shared" si="13"/>
        <v>0</v>
      </c>
      <c r="G51" s="234">
        <f t="shared" si="13"/>
        <v>0</v>
      </c>
      <c r="H51" s="234">
        <f t="shared" si="13"/>
        <v>0</v>
      </c>
      <c r="I51" s="234">
        <f t="shared" si="13"/>
        <v>0</v>
      </c>
      <c r="J51" s="236">
        <f t="shared" si="13"/>
        <v>0</v>
      </c>
      <c r="K51" s="234">
        <f t="shared" si="13"/>
        <v>0</v>
      </c>
      <c r="L51" s="236">
        <f t="shared" si="13"/>
        <v>0</v>
      </c>
      <c r="M51" s="234">
        <f t="shared" si="13"/>
        <v>0</v>
      </c>
      <c r="N51" s="234">
        <f t="shared" si="13"/>
        <v>0</v>
      </c>
      <c r="O51" s="234">
        <f t="shared" si="13"/>
        <v>0</v>
      </c>
      <c r="P51" s="234">
        <f t="shared" si="13"/>
        <v>0</v>
      </c>
      <c r="Q51" s="236">
        <f t="shared" si="13"/>
        <v>0</v>
      </c>
      <c r="R51" s="234">
        <f t="shared" si="13"/>
        <v>0</v>
      </c>
      <c r="S51" s="236">
        <f t="shared" si="13"/>
        <v>0</v>
      </c>
      <c r="T51" s="236">
        <f t="shared" si="13"/>
        <v>0</v>
      </c>
      <c r="U51" s="234">
        <f t="shared" si="13"/>
        <v>0</v>
      </c>
      <c r="V51" s="234">
        <f t="shared" si="13"/>
        <v>0</v>
      </c>
      <c r="W51" s="234">
        <f t="shared" si="13"/>
        <v>0</v>
      </c>
      <c r="X51" s="236">
        <f t="shared" si="13"/>
        <v>0</v>
      </c>
      <c r="Y51" s="234">
        <f t="shared" si="13"/>
        <v>0</v>
      </c>
      <c r="Z51" s="237">
        <f t="shared" si="13"/>
        <v>0</v>
      </c>
      <c r="AA51" s="234">
        <f t="shared" si="13"/>
        <v>0</v>
      </c>
      <c r="AB51" s="234">
        <f t="shared" si="13"/>
        <v>0</v>
      </c>
      <c r="AC51" s="234">
        <f t="shared" si="13"/>
        <v>0</v>
      </c>
      <c r="AD51" s="234">
        <f t="shared" si="13"/>
        <v>0</v>
      </c>
      <c r="AE51" s="236">
        <f t="shared" si="13"/>
        <v>0</v>
      </c>
      <c r="AF51" s="217" t="str">
        <f t="shared" ref="AF51:AF56" si="14">A51</f>
        <v>Actual hours worked</v>
      </c>
      <c r="AG51" s="218"/>
      <c r="AH51" s="238">
        <f>SUM(B51:AE51)</f>
        <v>0</v>
      </c>
      <c r="AI51" s="214"/>
      <c r="AJ51" s="209"/>
      <c r="AK51" s="209"/>
      <c r="AL51" s="209"/>
      <c r="AM51" s="239">
        <f ca="1">IF(WEEKDAY(EOMONTH(Monat.Tag1,0),2)=7,0,MAX(0,SUM(OFFSET(B51,0,DAY(EOMONTH(Monat.Tag1,0))-WEEKDAY(EOMONTH(Monat.Tag1,0),2),1,WEEKDAY(EOMONTH(Monat.Tag1,0),2)))))</f>
        <v>0</v>
      </c>
      <c r="AN51" s="209"/>
      <c r="AO51" s="209"/>
      <c r="AP51" s="119"/>
    </row>
    <row r="52" spans="1:42" s="38" customFormat="1" ht="15" customHeight="1" outlineLevel="1" x14ac:dyDescent="0.2">
      <c r="A52" s="212" t="s">
        <v>211</v>
      </c>
      <c r="B52" s="78">
        <f t="shared" ref="B52:AE52" ca="1" si="15">IF(B$12=0,0,ROUND(INDEX(Monat.RAZ1_7.Bereich,WEEKDAY(B$10,2))*B$11*1440,0)/1440)</f>
        <v>0.35</v>
      </c>
      <c r="C52" s="78">
        <f t="shared" ca="1" si="15"/>
        <v>0.35</v>
      </c>
      <c r="D52" s="79">
        <f t="shared" ca="1" si="15"/>
        <v>0.35</v>
      </c>
      <c r="E52" s="78">
        <f t="shared" ca="1" si="15"/>
        <v>0</v>
      </c>
      <c r="F52" s="79">
        <f t="shared" ca="1" si="15"/>
        <v>0</v>
      </c>
      <c r="G52" s="79">
        <f t="shared" ca="1" si="15"/>
        <v>0.35</v>
      </c>
      <c r="H52" s="79">
        <f t="shared" ca="1" si="15"/>
        <v>0.35</v>
      </c>
      <c r="I52" s="79">
        <f t="shared" ca="1" si="15"/>
        <v>0.35</v>
      </c>
      <c r="J52" s="78">
        <f t="shared" ca="1" si="15"/>
        <v>0.25</v>
      </c>
      <c r="K52" s="79">
        <f t="shared" ca="1" si="15"/>
        <v>0</v>
      </c>
      <c r="L52" s="78">
        <f t="shared" ca="1" si="15"/>
        <v>0</v>
      </c>
      <c r="M52" s="79">
        <f t="shared" ca="1" si="15"/>
        <v>0</v>
      </c>
      <c r="N52" s="79">
        <f t="shared" ca="1" si="15"/>
        <v>0</v>
      </c>
      <c r="O52" s="79">
        <f t="shared" ca="1" si="15"/>
        <v>0.35</v>
      </c>
      <c r="P52" s="79">
        <f t="shared" ca="1" si="15"/>
        <v>0.35</v>
      </c>
      <c r="Q52" s="78">
        <f t="shared" ca="1" si="15"/>
        <v>0.35</v>
      </c>
      <c r="R52" s="79">
        <f t="shared" ca="1" si="15"/>
        <v>0.35</v>
      </c>
      <c r="S52" s="78">
        <f t="shared" ca="1" si="15"/>
        <v>0</v>
      </c>
      <c r="T52" s="78">
        <f t="shared" ca="1" si="15"/>
        <v>0</v>
      </c>
      <c r="U52" s="79">
        <f t="shared" ca="1" si="15"/>
        <v>0.17499999999999999</v>
      </c>
      <c r="V52" s="79">
        <f t="shared" ca="1" si="15"/>
        <v>0.35</v>
      </c>
      <c r="W52" s="79">
        <f t="shared" ca="1" si="15"/>
        <v>0.35</v>
      </c>
      <c r="X52" s="78">
        <f t="shared" ca="1" si="15"/>
        <v>0.35</v>
      </c>
      <c r="Y52" s="79">
        <f t="shared" ca="1" si="15"/>
        <v>0.35</v>
      </c>
      <c r="Z52" s="80">
        <f t="shared" ca="1" si="15"/>
        <v>0</v>
      </c>
      <c r="AA52" s="79">
        <f t="shared" ca="1" si="15"/>
        <v>0</v>
      </c>
      <c r="AB52" s="79">
        <f t="shared" ca="1" si="15"/>
        <v>0.35</v>
      </c>
      <c r="AC52" s="79">
        <f t="shared" ca="1" si="15"/>
        <v>0.35</v>
      </c>
      <c r="AD52" s="79">
        <f t="shared" ca="1" si="15"/>
        <v>0.35</v>
      </c>
      <c r="AE52" s="78">
        <f t="shared" ca="1" si="15"/>
        <v>0.35</v>
      </c>
      <c r="AF52" s="240" t="str">
        <f t="shared" si="14"/>
        <v>Standardized hours (Info)</v>
      </c>
      <c r="AG52" s="218"/>
      <c r="AH52" s="213"/>
      <c r="AI52" s="214"/>
      <c r="AJ52" s="209"/>
      <c r="AK52" s="209"/>
      <c r="AL52" s="209"/>
      <c r="AM52" s="208"/>
      <c r="AN52" s="209"/>
      <c r="AO52" s="209"/>
      <c r="AP52" s="119"/>
    </row>
    <row r="53" spans="1:42" s="38" customFormat="1" ht="15" customHeight="1" x14ac:dyDescent="0.2">
      <c r="A53" s="212" t="s">
        <v>212</v>
      </c>
      <c r="B53" s="241">
        <f t="shared" ref="B53:AE53" ca="1" si="16">IF(B$12=0,0,ROUND(INDEX(EB.AZSOLLTag100.Bereich,MATCH(INDEX(EB.Monate.Bereich,MONTH(Monat.Tag1)),EB.Monate.Bereich,0))*B$11*IF(WEEKDAY(B$10,2)&gt;5,0,1)*$V$2/100*1440,0)/1440)</f>
        <v>0.35</v>
      </c>
      <c r="C53" s="241">
        <f t="shared" ca="1" si="16"/>
        <v>0.35</v>
      </c>
      <c r="D53" s="241">
        <f t="shared" ca="1" si="16"/>
        <v>0.35</v>
      </c>
      <c r="E53" s="241">
        <f t="shared" ca="1" si="16"/>
        <v>0</v>
      </c>
      <c r="F53" s="241">
        <f t="shared" ca="1" si="16"/>
        <v>0</v>
      </c>
      <c r="G53" s="241">
        <f t="shared" ca="1" si="16"/>
        <v>0.35</v>
      </c>
      <c r="H53" s="241">
        <f t="shared" ca="1" si="16"/>
        <v>0.35</v>
      </c>
      <c r="I53" s="241">
        <f t="shared" ca="1" si="16"/>
        <v>0.35</v>
      </c>
      <c r="J53" s="241">
        <f t="shared" ca="1" si="16"/>
        <v>0.25</v>
      </c>
      <c r="K53" s="241">
        <f t="shared" ca="1" si="16"/>
        <v>0</v>
      </c>
      <c r="L53" s="241">
        <f t="shared" ca="1" si="16"/>
        <v>0</v>
      </c>
      <c r="M53" s="241">
        <f t="shared" ca="1" si="16"/>
        <v>0</v>
      </c>
      <c r="N53" s="241">
        <f t="shared" ca="1" si="16"/>
        <v>0</v>
      </c>
      <c r="O53" s="241">
        <f t="shared" ca="1" si="16"/>
        <v>0.35</v>
      </c>
      <c r="P53" s="241">
        <f t="shared" ca="1" si="16"/>
        <v>0.35</v>
      </c>
      <c r="Q53" s="241">
        <f t="shared" ca="1" si="16"/>
        <v>0.35</v>
      </c>
      <c r="R53" s="241">
        <f t="shared" ca="1" si="16"/>
        <v>0.35</v>
      </c>
      <c r="S53" s="241">
        <f t="shared" ca="1" si="16"/>
        <v>0</v>
      </c>
      <c r="T53" s="241">
        <f t="shared" ca="1" si="16"/>
        <v>0</v>
      </c>
      <c r="U53" s="241">
        <f t="shared" ca="1" si="16"/>
        <v>0.17499999999999999</v>
      </c>
      <c r="V53" s="241">
        <f t="shared" ca="1" si="16"/>
        <v>0.35</v>
      </c>
      <c r="W53" s="241">
        <f t="shared" ca="1" si="16"/>
        <v>0.35</v>
      </c>
      <c r="X53" s="241">
        <f t="shared" ca="1" si="16"/>
        <v>0.35</v>
      </c>
      <c r="Y53" s="241">
        <f t="shared" ca="1" si="16"/>
        <v>0.35</v>
      </c>
      <c r="Z53" s="241">
        <f t="shared" ca="1" si="16"/>
        <v>0</v>
      </c>
      <c r="AA53" s="241">
        <f t="shared" ca="1" si="16"/>
        <v>0</v>
      </c>
      <c r="AB53" s="241">
        <f t="shared" ca="1" si="16"/>
        <v>0.35</v>
      </c>
      <c r="AC53" s="241">
        <f t="shared" ca="1" si="16"/>
        <v>0.35</v>
      </c>
      <c r="AD53" s="241">
        <f t="shared" ca="1" si="16"/>
        <v>0.35</v>
      </c>
      <c r="AE53" s="241">
        <f t="shared" ca="1" si="16"/>
        <v>0.35</v>
      </c>
      <c r="AF53" s="205" t="str">
        <f t="shared" si="14"/>
        <v>Req. hours of work FTE</v>
      </c>
      <c r="AG53" s="218"/>
      <c r="AH53" s="238">
        <f ca="1">SUM(B53:AE53)</f>
        <v>6.7249999999999979</v>
      </c>
      <c r="AI53" s="214"/>
      <c r="AJ53" s="209"/>
      <c r="AK53" s="209"/>
      <c r="AL53" s="209"/>
      <c r="AM53" s="208"/>
      <c r="AN53" s="209"/>
      <c r="AO53" s="209"/>
      <c r="AP53" s="119"/>
    </row>
    <row r="54" spans="1:42" s="38" customFormat="1" ht="15" hidden="1" customHeight="1" outlineLevel="1" x14ac:dyDescent="0.2">
      <c r="A54" s="212" t="s">
        <v>213</v>
      </c>
      <c r="B54" s="241">
        <f t="shared" ref="B54:AE54" ca="1" si="17">ROUND(INDEX(EB.AZSOLLTag100.Bereich,MATCH(INDEX(EB.Monate.Bereich,MONTH(Monat.Tag1)),EB.Monate.Bereich,0))*B$11*IF(WEEKDAY(B$10,2)&gt;5,0,1)*1440,0)/1440</f>
        <v>0.35</v>
      </c>
      <c r="C54" s="241">
        <f t="shared" ca="1" si="17"/>
        <v>0.35</v>
      </c>
      <c r="D54" s="242">
        <f t="shared" ca="1" si="17"/>
        <v>0.35</v>
      </c>
      <c r="E54" s="241">
        <f t="shared" ca="1" si="17"/>
        <v>0</v>
      </c>
      <c r="F54" s="242">
        <f t="shared" ca="1" si="17"/>
        <v>0</v>
      </c>
      <c r="G54" s="242">
        <f t="shared" ca="1" si="17"/>
        <v>0.35</v>
      </c>
      <c r="H54" s="242">
        <f t="shared" ca="1" si="17"/>
        <v>0.35</v>
      </c>
      <c r="I54" s="242">
        <f t="shared" ca="1" si="17"/>
        <v>0.35</v>
      </c>
      <c r="J54" s="241">
        <f t="shared" ca="1" si="17"/>
        <v>0.25</v>
      </c>
      <c r="K54" s="242">
        <f t="shared" ca="1" si="17"/>
        <v>0</v>
      </c>
      <c r="L54" s="241">
        <f t="shared" ca="1" si="17"/>
        <v>0</v>
      </c>
      <c r="M54" s="242">
        <f t="shared" ca="1" si="17"/>
        <v>0</v>
      </c>
      <c r="N54" s="242">
        <f t="shared" ca="1" si="17"/>
        <v>0</v>
      </c>
      <c r="O54" s="242">
        <f t="shared" ca="1" si="17"/>
        <v>0.35</v>
      </c>
      <c r="P54" s="242">
        <f t="shared" ca="1" si="17"/>
        <v>0.35</v>
      </c>
      <c r="Q54" s="241">
        <f t="shared" ca="1" si="17"/>
        <v>0.35</v>
      </c>
      <c r="R54" s="242">
        <f t="shared" ca="1" si="17"/>
        <v>0.35</v>
      </c>
      <c r="S54" s="241">
        <f t="shared" ca="1" si="17"/>
        <v>0</v>
      </c>
      <c r="T54" s="241">
        <f t="shared" ca="1" si="17"/>
        <v>0</v>
      </c>
      <c r="U54" s="242">
        <f t="shared" ca="1" si="17"/>
        <v>0.17499999999999999</v>
      </c>
      <c r="V54" s="242">
        <f t="shared" ca="1" si="17"/>
        <v>0.35</v>
      </c>
      <c r="W54" s="242">
        <f t="shared" ca="1" si="17"/>
        <v>0.35</v>
      </c>
      <c r="X54" s="241">
        <f t="shared" ca="1" si="17"/>
        <v>0.35</v>
      </c>
      <c r="Y54" s="242">
        <f t="shared" ca="1" si="17"/>
        <v>0.35</v>
      </c>
      <c r="Z54" s="243">
        <f t="shared" ca="1" si="17"/>
        <v>0</v>
      </c>
      <c r="AA54" s="242">
        <f t="shared" ca="1" si="17"/>
        <v>0</v>
      </c>
      <c r="AB54" s="242">
        <f t="shared" ca="1" si="17"/>
        <v>0.35</v>
      </c>
      <c r="AC54" s="242">
        <f t="shared" ca="1" si="17"/>
        <v>0.35</v>
      </c>
      <c r="AD54" s="242">
        <f t="shared" ca="1" si="17"/>
        <v>0.35</v>
      </c>
      <c r="AE54" s="241">
        <f t="shared" ca="1" si="17"/>
        <v>0.35</v>
      </c>
      <c r="AF54" s="205" t="str">
        <f t="shared" si="14"/>
        <v>Req. hours of work 100%</v>
      </c>
      <c r="AG54" s="218"/>
      <c r="AH54" s="238">
        <f ca="1">SUM(B54:AE54)</f>
        <v>6.7249999999999979</v>
      </c>
      <c r="AI54" s="214"/>
      <c r="AJ54" s="209"/>
      <c r="AK54" s="209"/>
      <c r="AL54" s="209"/>
      <c r="AM54" s="208"/>
      <c r="AN54" s="209"/>
      <c r="AO54" s="209"/>
      <c r="AP54" s="119"/>
    </row>
    <row r="55" spans="1:42" s="38" customFormat="1" ht="15" customHeight="1" collapsed="1" x14ac:dyDescent="0.2">
      <c r="A55" s="244" t="s">
        <v>77</v>
      </c>
      <c r="B55" s="234">
        <f ca="1">ROUND((B51-B53)*1440,0)/1440</f>
        <v>-0.35</v>
      </c>
      <c r="C55" s="234">
        <f t="shared" ref="C55:AE55" ca="1" si="18">ROUND((C51-C53)*1440,0)/1440</f>
        <v>-0.35</v>
      </c>
      <c r="D55" s="234">
        <f t="shared" ca="1" si="18"/>
        <v>-0.35</v>
      </c>
      <c r="E55" s="236">
        <f t="shared" ca="1" si="18"/>
        <v>0</v>
      </c>
      <c r="F55" s="234">
        <f t="shared" ca="1" si="18"/>
        <v>0</v>
      </c>
      <c r="G55" s="234">
        <f t="shared" ca="1" si="18"/>
        <v>-0.35</v>
      </c>
      <c r="H55" s="234">
        <f t="shared" ca="1" si="18"/>
        <v>-0.35</v>
      </c>
      <c r="I55" s="234">
        <f t="shared" ca="1" si="18"/>
        <v>-0.35</v>
      </c>
      <c r="J55" s="236">
        <f t="shared" ca="1" si="18"/>
        <v>-0.25</v>
      </c>
      <c r="K55" s="234">
        <f t="shared" ca="1" si="18"/>
        <v>0</v>
      </c>
      <c r="L55" s="236">
        <f t="shared" ca="1" si="18"/>
        <v>0</v>
      </c>
      <c r="M55" s="234">
        <f t="shared" ca="1" si="18"/>
        <v>0</v>
      </c>
      <c r="N55" s="234">
        <f t="shared" ca="1" si="18"/>
        <v>0</v>
      </c>
      <c r="O55" s="234">
        <f t="shared" ca="1" si="18"/>
        <v>-0.35</v>
      </c>
      <c r="P55" s="234">
        <f t="shared" ca="1" si="18"/>
        <v>-0.35</v>
      </c>
      <c r="Q55" s="236">
        <f t="shared" ca="1" si="18"/>
        <v>-0.35</v>
      </c>
      <c r="R55" s="234">
        <f t="shared" ca="1" si="18"/>
        <v>-0.35</v>
      </c>
      <c r="S55" s="236">
        <f t="shared" ca="1" si="18"/>
        <v>0</v>
      </c>
      <c r="T55" s="236">
        <f t="shared" ca="1" si="18"/>
        <v>0</v>
      </c>
      <c r="U55" s="234">
        <f t="shared" ca="1" si="18"/>
        <v>-0.17499999999999999</v>
      </c>
      <c r="V55" s="234">
        <f t="shared" ca="1" si="18"/>
        <v>-0.35</v>
      </c>
      <c r="W55" s="234">
        <f t="shared" ca="1" si="18"/>
        <v>-0.35</v>
      </c>
      <c r="X55" s="236">
        <f t="shared" ca="1" si="18"/>
        <v>-0.35</v>
      </c>
      <c r="Y55" s="234">
        <f t="shared" ca="1" si="18"/>
        <v>-0.35</v>
      </c>
      <c r="Z55" s="237">
        <f t="shared" ca="1" si="18"/>
        <v>0</v>
      </c>
      <c r="AA55" s="234">
        <f t="shared" ca="1" si="18"/>
        <v>0</v>
      </c>
      <c r="AB55" s="234">
        <f t="shared" ca="1" si="18"/>
        <v>-0.35</v>
      </c>
      <c r="AC55" s="234">
        <f t="shared" ca="1" si="18"/>
        <v>-0.35</v>
      </c>
      <c r="AD55" s="234">
        <f t="shared" ca="1" si="18"/>
        <v>-0.35</v>
      </c>
      <c r="AE55" s="236">
        <f t="shared" ca="1" si="18"/>
        <v>-0.35</v>
      </c>
      <c r="AF55" s="205" t="str">
        <f t="shared" si="14"/>
        <v>+/- required/actual hours daily</v>
      </c>
      <c r="AG55" s="218"/>
      <c r="AH55" s="238">
        <f ca="1">SUM(B55:AE55)</f>
        <v>-6.7249999999999979</v>
      </c>
      <c r="AI55" s="214"/>
      <c r="AJ55" s="209"/>
      <c r="AK55" s="245">
        <f ca="1">IF(EB.Anwendung&lt;&gt;"",IF(MONTH(Monat.Tag1)=1,0,IF(MONTH(Monat.Tag1)=2,January!Monat.Soll_Ist_UeVM,IF(MONTH(Monat.Tag1)=3,February!Monat.Soll_Ist_UeVM,IF(MONTH(Monat.Tag1)=4,March!Monat.Soll_Ist_UeVM,IF(MONTH(Monat.Tag1)=5,April!Monat.Soll_Ist_UeVM,IF(MONTH(Monat.Tag1)=6,May!Monat.Soll_Ist_UeVM,IF(MONTH(Monat.Tag1)=7,June!Monat.Soll_Ist_UeVM,IF(MONTH(Monat.Tag1)=8,July!Monat.Soll_Ist_UeVM,IF(MONTH(Monat.Tag1)=9,August!Monat.Soll_Ist_UeVM,IF(MONTH(Monat.Tag1)=10,September!Monat.Soll_Ist_UeVM,IF(MONTH(Monat.Tag1)=11,October!Monat.Soll_Ist_UeVM,IF(MONTH(Monat.Tag1)=12,November!Monat.Soll_Ist_UeVM,"")))))))))))),"")</f>
        <v>-7.6999999999999966</v>
      </c>
      <c r="AL55" s="209"/>
      <c r="AM55" s="246">
        <f ca="1">IF(AG57="+",(AH55+AH57),(AH55-AH57))</f>
        <v>-6.7249999999999979</v>
      </c>
      <c r="AN55" s="246">
        <f ca="1">SUM(OFFSET(J.AZSaldo.Total,-12,0,MONTH(Monat.Tag1),1))</f>
        <v>-28.774999999999988</v>
      </c>
      <c r="AO55" s="246">
        <f ca="1">J.AZSaldo.Total</f>
        <v>-88.07499999999996</v>
      </c>
      <c r="AP55" s="119"/>
    </row>
    <row r="56" spans="1:42" s="38" customFormat="1" ht="15" customHeight="1" x14ac:dyDescent="0.2">
      <c r="A56" s="244" t="s">
        <v>214</v>
      </c>
      <c r="B56" s="247">
        <f ca="1">IF(EB.Anwendung&lt;&gt;"",IF(DAY(B$10)=1,IF(MONTH(Monat.Tag1)=1,ROUND(EB.ÜVMMS*1440,0)/1440,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B$10&gt;TODAY(),EB.UJAustritt=""),0,B55),
IF(AND(B$10&gt;TODAY(),EB.UJAustritt=""),A56,A56+B55)),"")</f>
        <v>0</v>
      </c>
      <c r="C56" s="247">
        <f ca="1">IF(EB.Anwendung&lt;&gt;"",IF(DAY(C$10)=1,IF(MONTH(Monat.Tag1)=1,ROUND(EB.ÜVMMS*1440,0)/1440,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C$10&gt;TODAY(),EB.UJAustritt=""),0,C55),
IF(AND(C$10&gt;TODAY(),EB.UJAustritt=""),B56,B56+C55)),"")</f>
        <v>0</v>
      </c>
      <c r="D56" s="247">
        <f ca="1">IF(EB.Anwendung&lt;&gt;"",IF(DAY(D$10)=1,IF(MONTH(Monat.Tag1)=1,ROUND(EB.ÜVMMS*1440,0)/1440,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D$10&gt;TODAY(),EB.UJAustritt=""),0,D55),
IF(AND(D$10&gt;TODAY(),EB.UJAustritt=""),C56,C56+D55)),"")</f>
        <v>0</v>
      </c>
      <c r="E56" s="247">
        <f ca="1">IF(EB.Anwendung&lt;&gt;"",IF(DAY(E$10)=1,IF(MONTH(Monat.Tag1)=1,ROUND(EB.ÜVMMS*1440,0)/1440,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E$10&gt;TODAY(),EB.UJAustritt=""),0,E55),
IF(AND(E$10&gt;TODAY(),EB.UJAustritt=""),D56,D56+E55)),"")</f>
        <v>0</v>
      </c>
      <c r="F56" s="247">
        <f ca="1">IF(EB.Anwendung&lt;&gt;"",IF(DAY(F$10)=1,IF(MONTH(Monat.Tag1)=1,ROUND(EB.ÜVMMS*1440,0)/1440,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F$10&gt;TODAY(),EB.UJAustritt=""),0,F55),
IF(AND(F$10&gt;TODAY(),EB.UJAustritt=""),E56,E56+F55)),"")</f>
        <v>0</v>
      </c>
      <c r="G56" s="247">
        <f ca="1">IF(EB.Anwendung&lt;&gt;"",IF(DAY(G$10)=1,IF(MONTH(Monat.Tag1)=1,ROUND(EB.ÜVMMS*1440,0)/1440,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G$10&gt;TODAY(),EB.UJAustritt=""),0,G55),
IF(AND(G$10&gt;TODAY(),EB.UJAustritt=""),F56,F56+G55)),"")</f>
        <v>0</v>
      </c>
      <c r="H56" s="247">
        <f ca="1">IF(EB.Anwendung&lt;&gt;"",IF(DAY(H$10)=1,IF(MONTH(Monat.Tag1)=1,ROUND(EB.ÜVMMS*1440,0)/1440,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H$10&gt;TODAY(),EB.UJAustritt=""),0,H55),
IF(AND(H$10&gt;TODAY(),EB.UJAustritt=""),G56,G56+H55)),"")</f>
        <v>0</v>
      </c>
      <c r="I56" s="247">
        <f ca="1">IF(EB.Anwendung&lt;&gt;"",IF(DAY(I$10)=1,IF(MONTH(Monat.Tag1)=1,ROUND(EB.ÜVMMS*1440,0)/1440,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I$10&gt;TODAY(),EB.UJAustritt=""),0,I55),
IF(AND(I$10&gt;TODAY(),EB.UJAustritt=""),H56,H56+I55)),"")</f>
        <v>0</v>
      </c>
      <c r="J56" s="247">
        <f ca="1">IF(EB.Anwendung&lt;&gt;"",IF(DAY(J$10)=1,IF(MONTH(Monat.Tag1)=1,ROUND(EB.ÜVMMS*1440,0)/1440,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J$10&gt;TODAY(),EB.UJAustritt=""),0,J55),
IF(AND(J$10&gt;TODAY(),EB.UJAustritt=""),I56,I56+J55)),"")</f>
        <v>0</v>
      </c>
      <c r="K56" s="247">
        <f ca="1">IF(EB.Anwendung&lt;&gt;"",IF(DAY(K$10)=1,IF(MONTH(Monat.Tag1)=1,ROUND(EB.ÜVMMS*1440,0)/1440,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K$10&gt;TODAY(),EB.UJAustritt=""),0,K55),
IF(AND(K$10&gt;TODAY(),EB.UJAustritt=""),J56,J56+K55)),"")</f>
        <v>0</v>
      </c>
      <c r="L56" s="247">
        <f ca="1">IF(EB.Anwendung&lt;&gt;"",IF(DAY(L$10)=1,IF(MONTH(Monat.Tag1)=1,ROUND(EB.ÜVMMS*1440,0)/1440,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L$10&gt;TODAY(),EB.UJAustritt=""),0,L55),
IF(AND(L$10&gt;TODAY(),EB.UJAustritt=""),K56,K56+L55)),"")</f>
        <v>0</v>
      </c>
      <c r="M56" s="247">
        <f ca="1">IF(EB.Anwendung&lt;&gt;"",IF(DAY(M$10)=1,IF(MONTH(Monat.Tag1)=1,ROUND(EB.ÜVMMS*1440,0)/1440,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M$10&gt;TODAY(),EB.UJAustritt=""),0,M55),
IF(AND(M$10&gt;TODAY(),EB.UJAustritt=""),L56,L56+M55)),"")</f>
        <v>0</v>
      </c>
      <c r="N56" s="247">
        <f ca="1">IF(EB.Anwendung&lt;&gt;"",IF(DAY(N$10)=1,IF(MONTH(Monat.Tag1)=1,ROUND(EB.ÜVMMS*1440,0)/1440,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N$10&gt;TODAY(),EB.UJAustritt=""),0,N55),
IF(AND(N$10&gt;TODAY(),EB.UJAustritt=""),M56,M56+N55)),"")</f>
        <v>0</v>
      </c>
      <c r="O56" s="247">
        <f ca="1">IF(EB.Anwendung&lt;&gt;"",IF(DAY(O$10)=1,IF(MONTH(Monat.Tag1)=1,ROUND(EB.ÜVMMS*1440,0)/1440,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O$10&gt;TODAY(),EB.UJAustritt=""),0,O55),
IF(AND(O$10&gt;TODAY(),EB.UJAustritt=""),N56,N56+O55)),"")</f>
        <v>0</v>
      </c>
      <c r="P56" s="247">
        <f ca="1">IF(EB.Anwendung&lt;&gt;"",IF(DAY(P$10)=1,IF(MONTH(Monat.Tag1)=1,ROUND(EB.ÜVMMS*1440,0)/1440,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P$10&gt;TODAY(),EB.UJAustritt=""),0,P55),
IF(AND(P$10&gt;TODAY(),EB.UJAustritt=""),O56,O56+P55)),"")</f>
        <v>0</v>
      </c>
      <c r="Q56" s="247">
        <f ca="1">IF(EB.Anwendung&lt;&gt;"",IF(DAY(Q$10)=1,IF(MONTH(Monat.Tag1)=1,ROUND(EB.ÜVMMS*1440,0)/1440,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Q$10&gt;TODAY(),EB.UJAustritt=""),0,Q55),
IF(AND(Q$10&gt;TODAY(),EB.UJAustritt=""),P56,P56+Q55)),"")</f>
        <v>0</v>
      </c>
      <c r="R56" s="247">
        <f ca="1">IF(EB.Anwendung&lt;&gt;"",IF(DAY(R$10)=1,IF(MONTH(Monat.Tag1)=1,ROUND(EB.ÜVMMS*1440,0)/1440,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R$10&gt;TODAY(),EB.UJAustritt=""),0,R55),
IF(AND(R$10&gt;TODAY(),EB.UJAustritt=""),Q56,Q56+R55)),"")</f>
        <v>0</v>
      </c>
      <c r="S56" s="247">
        <f ca="1">IF(EB.Anwendung&lt;&gt;"",IF(DAY(S$10)=1,IF(MONTH(Monat.Tag1)=1,ROUND(EB.ÜVMMS*1440,0)/1440,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S$10&gt;TODAY(),EB.UJAustritt=""),0,S55),
IF(AND(S$10&gt;TODAY(),EB.UJAustritt=""),R56,R56+S55)),"")</f>
        <v>0</v>
      </c>
      <c r="T56" s="247">
        <f ca="1">IF(EB.Anwendung&lt;&gt;"",IF(DAY(T$10)=1,IF(MONTH(Monat.Tag1)=1,ROUND(EB.ÜVMMS*1440,0)/1440,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T$10&gt;TODAY(),EB.UJAustritt=""),0,T55),
IF(AND(T$10&gt;TODAY(),EB.UJAustritt=""),S56,S56+T55)),"")</f>
        <v>0</v>
      </c>
      <c r="U56" s="247">
        <f ca="1">IF(EB.Anwendung&lt;&gt;"",IF(DAY(U$10)=1,IF(MONTH(Monat.Tag1)=1,ROUND(EB.ÜVMMS*1440,0)/1440,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U$10&gt;TODAY(),EB.UJAustritt=""),0,U55),
IF(AND(U$10&gt;TODAY(),EB.UJAustritt=""),T56,T56+U55)),"")</f>
        <v>0</v>
      </c>
      <c r="V56" s="247">
        <f ca="1">IF(EB.Anwendung&lt;&gt;"",IF(DAY(V$10)=1,IF(MONTH(Monat.Tag1)=1,ROUND(EB.ÜVMMS*1440,0)/1440,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V$10&gt;TODAY(),EB.UJAustritt=""),0,V55),
IF(AND(V$10&gt;TODAY(),EB.UJAustritt=""),U56,U56+V55)),"")</f>
        <v>0</v>
      </c>
      <c r="W56" s="247">
        <f ca="1">IF(EB.Anwendung&lt;&gt;"",IF(DAY(W$10)=1,IF(MONTH(Monat.Tag1)=1,ROUND(EB.ÜVMMS*1440,0)/1440,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W$10&gt;TODAY(),EB.UJAustritt=""),0,W55),
IF(AND(W$10&gt;TODAY(),EB.UJAustritt=""),V56,V56+W55)),"")</f>
        <v>0</v>
      </c>
      <c r="X56" s="247">
        <f ca="1">IF(EB.Anwendung&lt;&gt;"",IF(DAY(X$10)=1,IF(MONTH(Monat.Tag1)=1,ROUND(EB.ÜVMMS*1440,0)/1440,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X$10&gt;TODAY(),EB.UJAustritt=""),0,X55),
IF(AND(X$10&gt;TODAY(),EB.UJAustritt=""),W56,W56+X55)),"")</f>
        <v>0</v>
      </c>
      <c r="Y56" s="247">
        <f ca="1">IF(EB.Anwendung&lt;&gt;"",IF(DAY(Y$10)=1,IF(MONTH(Monat.Tag1)=1,ROUND(EB.ÜVMMS*1440,0)/1440,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Y$10&gt;TODAY(),EB.UJAustritt=""),0,Y55),
IF(AND(Y$10&gt;TODAY(),EB.UJAustritt=""),X56,X56+Y55)),"")</f>
        <v>0</v>
      </c>
      <c r="Z56" s="247">
        <f ca="1">IF(EB.Anwendung&lt;&gt;"",IF(DAY(Z$10)=1,IF(MONTH(Monat.Tag1)=1,ROUND(EB.ÜVMMS*1440,0)/1440,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Z$10&gt;TODAY(),EB.UJAustritt=""),0,Z55),
IF(AND(Z$10&gt;TODAY(),EB.UJAustritt=""),Y56,Y56+Z55)),"")</f>
        <v>0</v>
      </c>
      <c r="AA56" s="247">
        <f ca="1">IF(EB.Anwendung&lt;&gt;"",IF(DAY(AA$10)=1,IF(MONTH(Monat.Tag1)=1,ROUND(EB.ÜVMMS*1440,0)/1440,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A$10&gt;TODAY(),EB.UJAustritt=""),0,AA55),
IF(AND(AA$10&gt;TODAY(),EB.UJAustritt=""),Z56,Z56+AA55)),"")</f>
        <v>0</v>
      </c>
      <c r="AB56" s="247">
        <f ca="1">IF(EB.Anwendung&lt;&gt;"",IF(DAY(AB$10)=1,IF(MONTH(Monat.Tag1)=1,ROUND(EB.ÜVMMS*1440,0)/1440,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B$10&gt;TODAY(),EB.UJAustritt=""),0,AB55),
IF(AND(AB$10&gt;TODAY(),EB.UJAustritt=""),AA56,AA56+AB55)),"")</f>
        <v>0</v>
      </c>
      <c r="AC56" s="247">
        <f ca="1">IF(EB.Anwendung&lt;&gt;"",IF(DAY(AC$10)=1,IF(MONTH(Monat.Tag1)=1,ROUND(EB.ÜVMMS*1440,0)/1440,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C$10&gt;TODAY(),EB.UJAustritt=""),0,AC55),
IF(AND(AC$10&gt;TODAY(),EB.UJAustritt=""),AB56,AB56+AC55)),"")</f>
        <v>0</v>
      </c>
      <c r="AD56" s="247">
        <f ca="1">IF(EB.Anwendung&lt;&gt;"",IF(DAY(AD$10)=1,IF(MONTH(Monat.Tag1)=1,ROUND(EB.ÜVMMS*1440,0)/1440,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D$10&gt;TODAY(),EB.UJAustritt=""),0,AD55),
IF(AND(AD$10&gt;TODAY(),EB.UJAustritt=""),AC56,AC56+AD55)),"")</f>
        <v>0</v>
      </c>
      <c r="AE56" s="247">
        <f ca="1">IF(EB.Anwendung&lt;&gt;"",IF(DAY(AE$10)=1,IF(MONTH(Monat.Tag1)=1,ROUND(EB.ÜVMMS*1440,0)/1440,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E$10&gt;TODAY(),EB.UJAustritt=""),0,AE55),
IF(AND(AE$10&gt;TODAY(),EB.UJAustritt=""),AD56,AD56+AE55)),"")</f>
        <v>0</v>
      </c>
      <c r="AF56" s="205" t="str">
        <f t="shared" si="14"/>
        <v>current extra/minus hours</v>
      </c>
      <c r="AG56" s="218"/>
      <c r="AH56" s="238">
        <f ca="1">OFFSET(B56,0,DAY(EOMONTH(Monat.Tag1,0))-1,1,1)</f>
        <v>0</v>
      </c>
      <c r="AI56" s="214"/>
      <c r="AJ56" s="209"/>
      <c r="AK56" s="209"/>
      <c r="AL56" s="209"/>
      <c r="AM56" s="208"/>
      <c r="AN56" s="209"/>
      <c r="AO56" s="209"/>
      <c r="AP56" s="119"/>
    </row>
    <row r="57" spans="1:42" s="42" customFormat="1" ht="15" customHeight="1" outlineLevel="1" x14ac:dyDescent="0.2">
      <c r="A57" s="248"/>
      <c r="B57" s="249"/>
      <c r="C57" s="249"/>
      <c r="D57" s="249"/>
      <c r="E57" s="191"/>
      <c r="F57" s="249"/>
      <c r="G57" s="249"/>
      <c r="H57" s="250"/>
      <c r="I57" s="249"/>
      <c r="J57" s="251"/>
      <c r="K57" s="249"/>
      <c r="L57" s="252"/>
      <c r="M57" s="249"/>
      <c r="N57" s="249"/>
      <c r="O57" s="250"/>
      <c r="P57" s="249"/>
      <c r="Q57" s="191"/>
      <c r="R57" s="249"/>
      <c r="S57" s="252"/>
      <c r="T57" s="249"/>
      <c r="U57" s="249"/>
      <c r="V57" s="250"/>
      <c r="W57" s="249"/>
      <c r="X57" s="253"/>
      <c r="Y57" s="249"/>
      <c r="Z57" s="191"/>
      <c r="AA57" s="249"/>
      <c r="AB57" s="249"/>
      <c r="AC57" s="250"/>
      <c r="AD57" s="249"/>
      <c r="AE57" s="191"/>
      <c r="AF57" s="212" t="s">
        <v>117</v>
      </c>
      <c r="AG57" s="43" t="s">
        <v>2</v>
      </c>
      <c r="AH57" s="73"/>
      <c r="AI57" s="255"/>
      <c r="AJ57" s="256"/>
      <c r="AK57" s="209"/>
      <c r="AL57" s="209"/>
      <c r="AM57" s="208"/>
      <c r="AN57" s="257"/>
      <c r="AO57" s="257"/>
      <c r="AP57" s="163"/>
    </row>
    <row r="58" spans="1:42" s="44" customFormat="1" ht="15" customHeight="1" x14ac:dyDescent="0.2">
      <c r="A58" s="258"/>
      <c r="B58" s="252"/>
      <c r="C58" s="252"/>
      <c r="D58" s="252"/>
      <c r="E58" s="191"/>
      <c r="F58" s="252"/>
      <c r="G58" s="252"/>
      <c r="H58" s="252"/>
      <c r="I58" s="252"/>
      <c r="J58" s="191"/>
      <c r="K58" s="252"/>
      <c r="L58" s="252"/>
      <c r="M58" s="252"/>
      <c r="N58" s="252"/>
      <c r="O58" s="252"/>
      <c r="P58" s="252"/>
      <c r="Q58" s="191"/>
      <c r="R58" s="252"/>
      <c r="S58" s="252"/>
      <c r="T58" s="252"/>
      <c r="U58" s="252"/>
      <c r="V58" s="252"/>
      <c r="W58" s="252"/>
      <c r="X58" s="253"/>
      <c r="Y58" s="252"/>
      <c r="Z58" s="191"/>
      <c r="AA58" s="252"/>
      <c r="AB58" s="252"/>
      <c r="AC58" s="252"/>
      <c r="AD58" s="252"/>
      <c r="AE58" s="191"/>
      <c r="AF58" s="260" t="s">
        <v>78</v>
      </c>
      <c r="AG58" s="218"/>
      <c r="AH58" s="238">
        <f ca="1">IF(AG57="+",(Monat.ZUeZ.Total+AH57),(Monat.ZUeZ.Total-AH57))</f>
        <v>0</v>
      </c>
      <c r="AI58" s="261"/>
      <c r="AJ58" s="262"/>
      <c r="AK58" s="245">
        <f ca="1">IF(EB.Anwendung&lt;&gt;"",IF(MONTH(Monat.Tag1)=1,EB.MMS,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f>
        <v>0</v>
      </c>
      <c r="AL58" s="209"/>
      <c r="AM58" s="246">
        <f ca="1">AH58</f>
        <v>0</v>
      </c>
      <c r="AN58" s="209"/>
      <c r="AO58" s="209"/>
      <c r="AP58" s="131"/>
    </row>
    <row r="59" spans="1:42" s="38" customFormat="1" ht="11.25" customHeight="1" x14ac:dyDescent="0.2">
      <c r="A59" s="220"/>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05"/>
      <c r="AG59" s="188"/>
      <c r="AH59" s="213"/>
      <c r="AI59" s="214"/>
      <c r="AJ59" s="209"/>
      <c r="AK59" s="209"/>
      <c r="AL59" s="209"/>
      <c r="AM59" s="208"/>
      <c r="AN59" s="209"/>
      <c r="AO59" s="209"/>
      <c r="AP59" s="119"/>
    </row>
    <row r="60" spans="1:42" s="38" customFormat="1" ht="15" customHeight="1" x14ac:dyDescent="0.2">
      <c r="A60" s="212" t="s">
        <v>217</v>
      </c>
      <c r="B60" s="263" t="str">
        <f ca="1">IF(EB.Wochenarbeitszeit=50/24,IF(T.50_Vetsuisse,IF(WEEKDAY(B$10,2)=7,MAX(0,SUM(OFFSET(B51,0,-MIN(6,DAY(B$10)-1),1,MIN(7,DAY(B$10))))+IF(AND(MONTH(Monat.Tag1)&lt;&gt;1,DAY(B$10)&lt;7),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-1/24*50),""),""),IF(B45=0,"",B45))</f>
        <v/>
      </c>
      <c r="C60" s="263" t="str">
        <f ca="1">IF(EB.Wochenarbeitszeit=50/24,IF(T.50_Vetsuisse,IF(WEEKDAY(C$10,2)=7,MAX(0,SUM(OFFSET(C51,0,-MIN(6,DAY(C$10)-1),1,MIN(7,DAY(C$10))))+IF(AND(MONTH(Monat.Tag1)&lt;&gt;1,DAY(C$10)&lt;7),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-1/24*50),""),""),IF(C45=0,"",C45))</f>
        <v/>
      </c>
      <c r="D60" s="263" t="str">
        <f ca="1">IF(EB.Wochenarbeitszeit=50/24,IF(T.50_Vetsuisse,IF(WEEKDAY(D$10,2)=7,MAX(0,SUM(OFFSET(D51,0,-MIN(6,DAY(D$10)-1),1,MIN(7,DAY(D$10))))+IF(AND(MONTH(Monat.Tag1)&lt;&gt;1,DAY(D$10)&lt;7),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-1/24*50),""),""),IF(D45=0,"",D45))</f>
        <v/>
      </c>
      <c r="E60" s="264" t="str">
        <f ca="1">IF(EB.Wochenarbeitszeit=50/24,IF(T.50_Vetsuisse,IF(WEEKDAY(E$10,2)=7,MAX(0,SUM(OFFSET(E51,0,-MIN(6,DAY(E$10)-1),1,MIN(7,DAY(E$10))))+IF(AND(MONTH(Monat.Tag1)&lt;&gt;1,DAY(E$10)&lt;7),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-1/24*50),""),""),IF(E45=0,"",E45))</f>
        <v/>
      </c>
      <c r="F60" s="263" t="str">
        <f ca="1">IF(EB.Wochenarbeitszeit=50/24,IF(T.50_Vetsuisse,IF(WEEKDAY(F$10,2)=7,MAX(0,SUM(OFFSET(F51,0,-MIN(6,DAY(F$10)-1),1,MIN(7,DAY(F$10))))+IF(AND(MONTH(Monat.Tag1)&lt;&gt;1,DAY(F$10)&lt;7),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-1/24*50),""),""),IF(F45=0,"",F45))</f>
        <v/>
      </c>
      <c r="G60" s="263" t="str">
        <f ca="1">IF(EB.Wochenarbeitszeit=50/24,IF(T.50_Vetsuisse,IF(WEEKDAY(G$10,2)=7,MAX(0,SUM(OFFSET(G51,0,-MIN(6,DAY(G$10)-1),1,MIN(7,DAY(G$10))))+IF(AND(MONTH(Monat.Tag1)&lt;&gt;1,DAY(G$10)&lt;7),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-1/24*50),""),""),IF(G45=0,"",G45))</f>
        <v/>
      </c>
      <c r="H60" s="263" t="str">
        <f ca="1">IF(EB.Wochenarbeitszeit=50/24,IF(T.50_Vetsuisse,IF(WEEKDAY(H$10,2)=7,MAX(0,SUM(OFFSET(H51,0,-MIN(6,DAY(H$10)-1),1,MIN(7,DAY(H$10))))+IF(AND(MONTH(Monat.Tag1)&lt;&gt;1,DAY(H$10)&lt;7),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-1/24*50),""),""),IF(H45=0,"",H45))</f>
        <v/>
      </c>
      <c r="I60" s="263" t="str">
        <f ca="1">IF(EB.Wochenarbeitszeit=50/24,IF(T.50_Vetsuisse,IF(WEEKDAY(I$10,2)=7,MAX(0,SUM(OFFSET(I51,0,-MIN(6,DAY(I$10)-1),1,MIN(7,DAY(I$10))))+IF(AND(MONTH(Monat.Tag1)&lt;&gt;1,DAY(I$10)&lt;7),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-1/24*50),""),""),IF(I45=0,"",I45))</f>
        <v/>
      </c>
      <c r="J60" s="264" t="str">
        <f ca="1">IF(EB.Wochenarbeitszeit=50/24,IF(T.50_Vetsuisse,IF(WEEKDAY(J$10,2)=7,MAX(0,SUM(OFFSET(J51,0,-MIN(6,DAY(J$10)-1),1,MIN(7,DAY(J$10))))+IF(AND(MONTH(Monat.Tag1)&lt;&gt;1,DAY(J$10)&lt;7),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-1/24*50),""),""),IF(J45=0,"",J45))</f>
        <v/>
      </c>
      <c r="K60" s="263" t="str">
        <f ca="1">IF(EB.Wochenarbeitszeit=50/24,IF(T.50_Vetsuisse,IF(WEEKDAY(K$10,2)=7,MAX(0,SUM(OFFSET(K51,0,-MIN(6,DAY(K$10)-1),1,MIN(7,DAY(K$10))))+IF(AND(MONTH(Monat.Tag1)&lt;&gt;1,DAY(K$10)&lt;7),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-1/24*50),""),""),IF(K45=0,"",K45))</f>
        <v/>
      </c>
      <c r="L60" s="264" t="str">
        <f ca="1">IF(EB.Wochenarbeitszeit=50/24,IF(T.50_Vetsuisse,IF(WEEKDAY(L$10,2)=7,MAX(0,SUM(OFFSET(L51,0,-MIN(6,DAY(L$10)-1),1,MIN(7,DAY(L$10))))+IF(AND(MONTH(Monat.Tag1)&lt;&gt;1,DAY(L$10)&lt;7),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-1/24*50),""),""),IF(L45=0,"",L45))</f>
        <v/>
      </c>
      <c r="M60" s="263" t="str">
        <f ca="1">IF(EB.Wochenarbeitszeit=50/24,IF(T.50_Vetsuisse,IF(WEEKDAY(M$10,2)=7,MAX(0,SUM(OFFSET(M51,0,-MIN(6,DAY(M$10)-1),1,MIN(7,DAY(M$10))))+IF(AND(MONTH(Monat.Tag1)&lt;&gt;1,DAY(M$10)&lt;7),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-1/24*50),""),""),IF(M45=0,"",M45))</f>
        <v/>
      </c>
      <c r="N60" s="263" t="str">
        <f ca="1">IF(EB.Wochenarbeitszeit=50/24,IF(T.50_Vetsuisse,IF(WEEKDAY(N$10,2)=7,MAX(0,SUM(OFFSET(N51,0,-MIN(6,DAY(N$10)-1),1,MIN(7,DAY(N$10))))+IF(AND(MONTH(Monat.Tag1)&lt;&gt;1,DAY(N$10)&lt;7),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-1/24*50),""),""),IF(N45=0,"",N45))</f>
        <v/>
      </c>
      <c r="O60" s="263" t="str">
        <f ca="1">IF(EB.Wochenarbeitszeit=50/24,IF(T.50_Vetsuisse,IF(WEEKDAY(O$10,2)=7,MAX(0,SUM(OFFSET(O51,0,-MIN(6,DAY(O$10)-1),1,MIN(7,DAY(O$10))))+IF(AND(MONTH(Monat.Tag1)&lt;&gt;1,DAY(O$10)&lt;7),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-1/24*50),""),""),IF(O45=0,"",O45))</f>
        <v/>
      </c>
      <c r="P60" s="263" t="str">
        <f ca="1">IF(EB.Wochenarbeitszeit=50/24,IF(T.50_Vetsuisse,IF(WEEKDAY(P$10,2)=7,MAX(0,SUM(OFFSET(P51,0,-MIN(6,DAY(P$10)-1),1,MIN(7,DAY(P$10))))+IF(AND(MONTH(Monat.Tag1)&lt;&gt;1,DAY(P$10)&lt;7),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-1/24*50),""),""),IF(P45=0,"",P45))</f>
        <v/>
      </c>
      <c r="Q60" s="264" t="str">
        <f ca="1">IF(EB.Wochenarbeitszeit=50/24,IF(T.50_Vetsuisse,IF(WEEKDAY(Q$10,2)=7,MAX(0,SUM(OFFSET(Q51,0,-MIN(6,DAY(Q$10)-1),1,MIN(7,DAY(Q$10))))+IF(AND(MONTH(Monat.Tag1)&lt;&gt;1,DAY(Q$10)&lt;7),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-1/24*50),""),""),IF(Q45=0,"",Q45))</f>
        <v/>
      </c>
      <c r="R60" s="263" t="str">
        <f ca="1">IF(EB.Wochenarbeitszeit=50/24,IF(T.50_Vetsuisse,IF(WEEKDAY(R$10,2)=7,MAX(0,SUM(OFFSET(R51,0,-MIN(6,DAY(R$10)-1),1,MIN(7,DAY(R$10))))+IF(AND(MONTH(Monat.Tag1)&lt;&gt;1,DAY(R$10)&lt;7),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-1/24*50),""),""),IF(R45=0,"",R45))</f>
        <v/>
      </c>
      <c r="S60" s="264" t="str">
        <f ca="1">IF(EB.Wochenarbeitszeit=50/24,IF(T.50_Vetsuisse,IF(WEEKDAY(S$10,2)=7,MAX(0,SUM(OFFSET(S51,0,-MIN(6,DAY(S$10)-1),1,MIN(7,DAY(S$10))))+IF(AND(MONTH(Monat.Tag1)&lt;&gt;1,DAY(S$10)&lt;7),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-1/24*50),""),""),IF(S45=0,"",S45))</f>
        <v/>
      </c>
      <c r="T60" s="264" t="str">
        <f ca="1">IF(EB.Wochenarbeitszeit=50/24,IF(T.50_Vetsuisse,IF(WEEKDAY(T$10,2)=7,MAX(0,SUM(OFFSET(T51,0,-MIN(6,DAY(T$10)-1),1,MIN(7,DAY(T$10))))+IF(AND(MONTH(Monat.Tag1)&lt;&gt;1,DAY(T$10)&lt;7),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-1/24*50),""),""),IF(T45=0,"",T45))</f>
        <v/>
      </c>
      <c r="U60" s="263" t="str">
        <f ca="1">IF(EB.Wochenarbeitszeit=50/24,IF(T.50_Vetsuisse,IF(WEEKDAY(U$10,2)=7,MAX(0,SUM(OFFSET(U51,0,-MIN(6,DAY(U$10)-1),1,MIN(7,DAY(U$10))))+IF(AND(MONTH(Monat.Tag1)&lt;&gt;1,DAY(U$10)&lt;7),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-1/24*50),""),""),IF(U45=0,"",U45))</f>
        <v/>
      </c>
      <c r="V60" s="263" t="str">
        <f ca="1">IF(EB.Wochenarbeitszeit=50/24,IF(T.50_Vetsuisse,IF(WEEKDAY(V$10,2)=7,MAX(0,SUM(OFFSET(V51,0,-MIN(6,DAY(V$10)-1),1,MIN(7,DAY(V$10))))+IF(AND(MONTH(Monat.Tag1)&lt;&gt;1,DAY(V$10)&lt;7),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-1/24*50),""),""),IF(V45=0,"",V45))</f>
        <v/>
      </c>
      <c r="W60" s="263" t="str">
        <f ca="1">IF(EB.Wochenarbeitszeit=50/24,IF(T.50_Vetsuisse,IF(WEEKDAY(W$10,2)=7,MAX(0,SUM(OFFSET(W51,0,-MIN(6,DAY(W$10)-1),1,MIN(7,DAY(W$10))))+IF(AND(MONTH(Monat.Tag1)&lt;&gt;1,DAY(W$10)&lt;7),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-1/24*50),""),""),IF(W45=0,"",W45))</f>
        <v/>
      </c>
      <c r="X60" s="264" t="str">
        <f ca="1">IF(EB.Wochenarbeitszeit=50/24,IF(T.50_Vetsuisse,IF(WEEKDAY(X$10,2)=7,MAX(0,SUM(OFFSET(X51,0,-MIN(6,DAY(X$10)-1),1,MIN(7,DAY(X$10))))+IF(AND(MONTH(Monat.Tag1)&lt;&gt;1,DAY(X$10)&lt;7),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-1/24*50),""),""),IF(X45=0,"",X45))</f>
        <v/>
      </c>
      <c r="Y60" s="263" t="str">
        <f ca="1">IF(EB.Wochenarbeitszeit=50/24,IF(T.50_Vetsuisse,IF(WEEKDAY(Y$10,2)=7,MAX(0,SUM(OFFSET(Y51,0,-MIN(6,DAY(Y$10)-1),1,MIN(7,DAY(Y$10))))+IF(AND(MONTH(Monat.Tag1)&lt;&gt;1,DAY(Y$10)&lt;7),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-1/24*50),""),""),IF(Y45=0,"",Y45))</f>
        <v/>
      </c>
      <c r="Z60" s="265" t="str">
        <f ca="1">IF(EB.Wochenarbeitszeit=50/24,IF(T.50_Vetsuisse,IF(WEEKDAY(Z$10,2)=7,MAX(0,SUM(OFFSET(Z51,0,-MIN(6,DAY(Z$10)-1),1,MIN(7,DAY(Z$10))))+IF(AND(MONTH(Monat.Tag1)&lt;&gt;1,DAY(Z$10)&lt;7),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-1/24*50),""),""),IF(Z45=0,"",Z45))</f>
        <v/>
      </c>
      <c r="AA60" s="263" t="str">
        <f ca="1">IF(EB.Wochenarbeitszeit=50/24,IF(T.50_Vetsuisse,IF(WEEKDAY(AA$10,2)=7,MAX(0,SUM(OFFSET(AA51,0,-MIN(6,DAY(AA$10)-1),1,MIN(7,DAY(AA$10))))+IF(AND(MONTH(Monat.Tag1)&lt;&gt;1,DAY(AA$10)&lt;7),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-1/24*50),""),""),IF(AA45=0,"",AA45))</f>
        <v/>
      </c>
      <c r="AB60" s="263" t="str">
        <f ca="1">IF(EB.Wochenarbeitszeit=50/24,IF(T.50_Vetsuisse,IF(WEEKDAY(AB$10,2)=7,MAX(0,SUM(OFFSET(AB51,0,-MIN(6,DAY(AB$10)-1),1,MIN(7,DAY(AB$10))))+IF(AND(MONTH(Monat.Tag1)&lt;&gt;1,DAY(AB$10)&lt;7),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-1/24*50),""),""),IF(AB45=0,"",AB45))</f>
        <v/>
      </c>
      <c r="AC60" s="263" t="str">
        <f ca="1">IF(EB.Wochenarbeitszeit=50/24,IF(T.50_Vetsuisse,IF(WEEKDAY(AC$10,2)=7,MAX(0,SUM(OFFSET(AC51,0,-MIN(6,DAY(AC$10)-1),1,MIN(7,DAY(AC$10))))+IF(AND(MONTH(Monat.Tag1)&lt;&gt;1,DAY(AC$10)&lt;7),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-1/24*50),""),""),IF(AC45=0,"",AC45))</f>
        <v/>
      </c>
      <c r="AD60" s="263" t="str">
        <f ca="1">IF(EB.Wochenarbeitszeit=50/24,IF(T.50_Vetsuisse,IF(WEEKDAY(AD$10,2)=7,MAX(0,SUM(OFFSET(AD51,0,-MIN(6,DAY(AD$10)-1),1,MIN(7,DAY(AD$10))))+IF(AND(MONTH(Monat.Tag1)&lt;&gt;1,DAY(AD$10)&lt;7),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-1/24*50),""),""),IF(AD45=0,"",AD45))</f>
        <v/>
      </c>
      <c r="AE60" s="264" t="str">
        <f ca="1">IF(EB.Wochenarbeitszeit=50/24,IF(T.50_Vetsuisse,IF(WEEKDAY(AE$10,2)=7,MAX(0,SUM(OFFSET(AE51,0,-MIN(6,DAY(AE$10)-1),1,MIN(7,DAY(AE$10))))+IF(AND(MONTH(Monat.Tag1)&lt;&gt;1,DAY(AE$10)&lt;7),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-1/24*50),""),""),IF(AE45=0,"",AE45))</f>
        <v/>
      </c>
      <c r="AF60" s="205" t="str">
        <f>A60</f>
        <v>Ordered overtime</v>
      </c>
      <c r="AG60" s="218"/>
      <c r="AH60" s="238">
        <f ca="1">SUM(B60:AE60)</f>
        <v>0</v>
      </c>
      <c r="AI60" s="214"/>
      <c r="AJ60" s="209"/>
      <c r="AK60" s="245">
        <f ca="1">IF(EB.Anwendung&lt;&gt;"",IF(MONTH(Monat.Tag1)=1,0,IF(MONTH(Monat.Tag1)=2,January!Monat.AnUeZUeVM,IF(MONTH(Monat.Tag1)=3,February!Monat.AnUeZUeVM,IF(MONTH(Monat.Tag1)=4,March!Monat.AnUeZUeVM,IF(MONTH(Monat.Tag1)=5,April!Monat.AnUeZUeVM,IF(MONTH(Monat.Tag1)=6,May!Monat.AnUeZUeVM,IF(MONTH(Monat.Tag1)=7,June!Monat.AnUeZUeVM,IF(MONTH(Monat.Tag1)=8,July!Monat.AnUeZUeVM,IF(MONTH(Monat.Tag1)=9,August!Monat.AnUeZUeVM,IF(MONTH(Monat.Tag1)=10,September!Monat.AnUeZUeVM,IF(MONTH(Monat.Tag1)=11,October!Monat.AnUeZUeVM,IF(MONTH(Monat.Tag1)=12,November!Monat.AnUeZUeVM,"")))))))))))),"")</f>
        <v>0</v>
      </c>
      <c r="AL60" s="209"/>
      <c r="AM60" s="246">
        <f ca="1">AH60+AK60</f>
        <v>0</v>
      </c>
      <c r="AN60" s="246">
        <f ca="1">SUM(OFFSET(Jahr.AngÜZ,-12,0,MONTH(Monat.Tag1),1))</f>
        <v>0</v>
      </c>
      <c r="AO60" s="246">
        <f ca="1">Jahr.AngÜZ</f>
        <v>0</v>
      </c>
      <c r="AP60" s="119"/>
    </row>
    <row r="61" spans="1:42" s="38" customFormat="1" ht="15" customHeight="1" x14ac:dyDescent="0.2">
      <c r="A61" s="212" t="s">
        <v>218</v>
      </c>
      <c r="B61" s="27"/>
      <c r="C61" s="27"/>
      <c r="D61" s="27"/>
      <c r="E61" s="27"/>
      <c r="F61" s="27"/>
      <c r="G61" s="27"/>
      <c r="H61" s="27"/>
      <c r="I61" s="27"/>
      <c r="J61" s="27"/>
      <c r="K61" s="27"/>
      <c r="L61" s="27"/>
      <c r="M61" s="27"/>
      <c r="N61" s="27"/>
      <c r="O61" s="27"/>
      <c r="P61" s="27"/>
      <c r="Q61" s="27"/>
      <c r="R61" s="27"/>
      <c r="S61" s="27"/>
      <c r="T61" s="27"/>
      <c r="U61" s="27"/>
      <c r="V61" s="27"/>
      <c r="W61" s="27"/>
      <c r="X61" s="27"/>
      <c r="Y61" s="27"/>
      <c r="Z61" s="39"/>
      <c r="AA61" s="27"/>
      <c r="AB61" s="27"/>
      <c r="AC61" s="27"/>
      <c r="AD61" s="27"/>
      <c r="AE61" s="27"/>
      <c r="AF61" s="205" t="str">
        <f>A61</f>
        <v>Compensation overtime</v>
      </c>
      <c r="AG61" s="218"/>
      <c r="AH61" s="238">
        <f>SUM(B61:AE61)</f>
        <v>0</v>
      </c>
      <c r="AI61" s="214"/>
      <c r="AJ61" s="209"/>
      <c r="AK61" s="209"/>
      <c r="AL61" s="209"/>
      <c r="AM61" s="208"/>
      <c r="AN61" s="209"/>
      <c r="AO61" s="209"/>
      <c r="AP61" s="119"/>
    </row>
    <row r="62" spans="1:42" s="42" customFormat="1" ht="15" hidden="1" customHeight="1" outlineLevel="1" x14ac:dyDescent="0.2">
      <c r="A62" s="248"/>
      <c r="B62" s="253"/>
      <c r="C62" s="253"/>
      <c r="D62" s="253"/>
      <c r="E62" s="191"/>
      <c r="F62" s="253"/>
      <c r="G62" s="253"/>
      <c r="H62" s="253"/>
      <c r="I62" s="253"/>
      <c r="J62" s="251"/>
      <c r="K62" s="253"/>
      <c r="L62" s="252"/>
      <c r="M62" s="253"/>
      <c r="N62" s="253"/>
      <c r="O62" s="253"/>
      <c r="P62" s="253"/>
      <c r="Q62" s="191"/>
      <c r="R62" s="253"/>
      <c r="S62" s="252"/>
      <c r="T62" s="253"/>
      <c r="U62" s="253"/>
      <c r="V62" s="253"/>
      <c r="W62" s="253"/>
      <c r="X62" s="253"/>
      <c r="Y62" s="253"/>
      <c r="Z62" s="191"/>
      <c r="AA62" s="253"/>
      <c r="AB62" s="253"/>
      <c r="AC62" s="253"/>
      <c r="AD62" s="253"/>
      <c r="AE62" s="191"/>
      <c r="AF62" s="267" t="s">
        <v>118</v>
      </c>
      <c r="AG62" s="268"/>
      <c r="AH62" s="238">
        <f ca="1">Monat.AnUeZ.Total-Monat.KomUeZ.Total</f>
        <v>0</v>
      </c>
      <c r="AI62" s="214"/>
      <c r="AJ62" s="257"/>
      <c r="AK62" s="257"/>
      <c r="AL62" s="209"/>
      <c r="AM62" s="257"/>
      <c r="AN62" s="257"/>
      <c r="AO62" s="257"/>
      <c r="AP62" s="163"/>
    </row>
    <row r="63" spans="1:42" s="38" customFormat="1" ht="15" customHeight="1" collapsed="1" x14ac:dyDescent="0.2">
      <c r="A63" s="220"/>
      <c r="B63" s="191"/>
      <c r="C63" s="191"/>
      <c r="D63" s="191"/>
      <c r="E63" s="191"/>
      <c r="F63" s="191"/>
      <c r="G63" s="191"/>
      <c r="H63" s="191"/>
      <c r="I63" s="191"/>
      <c r="J63" s="191"/>
      <c r="K63" s="191"/>
      <c r="L63" s="252"/>
      <c r="M63" s="191"/>
      <c r="N63" s="191"/>
      <c r="O63" s="191"/>
      <c r="P63" s="191"/>
      <c r="Q63" s="191"/>
      <c r="R63" s="191"/>
      <c r="S63" s="252"/>
      <c r="T63" s="191"/>
      <c r="U63" s="191"/>
      <c r="V63" s="191"/>
      <c r="W63" s="191"/>
      <c r="X63" s="253"/>
      <c r="Y63" s="191"/>
      <c r="Z63" s="191"/>
      <c r="AA63" s="191"/>
      <c r="AB63" s="191"/>
      <c r="AC63" s="191"/>
      <c r="AD63" s="191"/>
      <c r="AE63" s="191"/>
      <c r="AF63" s="212" t="s">
        <v>215</v>
      </c>
      <c r="AG63" s="218"/>
      <c r="AH63" s="238">
        <f ca="1">IF(T.50_Vetsuisse,0,IF(AND(AH62&gt;0,Monat.ÜZZSBerechtigt=INDEX(T.JaNein.Bereich,1,1)),ROUND(AH62*0.25*1440,0)/1440,0))</f>
        <v>0</v>
      </c>
      <c r="AI63" s="214"/>
      <c r="AJ63" s="209"/>
      <c r="AK63" s="257"/>
      <c r="AL63" s="209"/>
      <c r="AM63" s="257"/>
      <c r="AN63" s="257"/>
      <c r="AO63" s="257"/>
      <c r="AP63" s="119"/>
    </row>
    <row r="64" spans="1:42" s="38" customFormat="1" ht="15" hidden="1" customHeight="1" outlineLevel="1" x14ac:dyDescent="0.2">
      <c r="A64" s="220"/>
      <c r="B64" s="191"/>
      <c r="C64" s="191"/>
      <c r="D64" s="191"/>
      <c r="E64" s="191"/>
      <c r="F64" s="191"/>
      <c r="G64" s="191"/>
      <c r="H64" s="191"/>
      <c r="I64" s="191"/>
      <c r="J64" s="191"/>
      <c r="K64" s="191"/>
      <c r="L64" s="252"/>
      <c r="M64" s="191"/>
      <c r="N64" s="191"/>
      <c r="O64" s="191"/>
      <c r="P64" s="191"/>
      <c r="Q64" s="191"/>
      <c r="R64" s="191"/>
      <c r="S64" s="252"/>
      <c r="T64" s="191"/>
      <c r="U64" s="191"/>
      <c r="V64" s="191"/>
      <c r="W64" s="191"/>
      <c r="X64" s="253"/>
      <c r="Y64" s="191"/>
      <c r="Z64" s="191"/>
      <c r="AA64" s="191"/>
      <c r="AB64" s="191"/>
      <c r="AC64" s="191"/>
      <c r="AD64" s="191"/>
      <c r="AE64" s="191"/>
      <c r="AF64" s="212" t="s">
        <v>119</v>
      </c>
      <c r="AG64" s="45" t="s">
        <v>2</v>
      </c>
      <c r="AH64" s="46"/>
      <c r="AI64" s="270"/>
      <c r="AJ64" s="209"/>
      <c r="AK64" s="257"/>
      <c r="AL64" s="209"/>
      <c r="AM64" s="257"/>
      <c r="AN64" s="257"/>
      <c r="AO64" s="257"/>
      <c r="AP64" s="119"/>
    </row>
    <row r="65" spans="1:42" s="42" customFormat="1" ht="15" customHeight="1" collapsed="1" x14ac:dyDescent="0.2">
      <c r="A65" s="248"/>
      <c r="B65" s="253"/>
      <c r="C65" s="253"/>
      <c r="D65" s="253"/>
      <c r="E65" s="191"/>
      <c r="F65" s="253"/>
      <c r="G65" s="253"/>
      <c r="H65" s="253"/>
      <c r="I65" s="253"/>
      <c r="J65" s="191"/>
      <c r="K65" s="253"/>
      <c r="L65" s="252"/>
      <c r="M65" s="253"/>
      <c r="N65" s="253"/>
      <c r="O65" s="253"/>
      <c r="P65" s="253"/>
      <c r="Q65" s="191"/>
      <c r="R65" s="253"/>
      <c r="S65" s="252"/>
      <c r="T65" s="253"/>
      <c r="U65" s="253"/>
      <c r="V65" s="253"/>
      <c r="W65" s="253"/>
      <c r="X65" s="253"/>
      <c r="Y65" s="253"/>
      <c r="Z65" s="191"/>
      <c r="AA65" s="253"/>
      <c r="AB65" s="253"/>
      <c r="AC65" s="253"/>
      <c r="AD65" s="253"/>
      <c r="AE65" s="191"/>
      <c r="AF65" s="260" t="s">
        <v>219</v>
      </c>
      <c r="AG65" s="268"/>
      <c r="AH65" s="238">
        <f ca="1">IF(AG64="+",(AH62+AH63+AH64),(AH62+AH63-AH64))</f>
        <v>0</v>
      </c>
      <c r="AI65" s="261"/>
      <c r="AJ65" s="271"/>
      <c r="AK65" s="245">
        <f ca="1">IF(EB.Anwendung&lt;&gt;"",IF(MONTH(Monat.Tag1)=1,EB.UeZ,IF(MONTH(Monat.Tag1)=2,January!Monat.UeZUeVM,IF(MONTH(Monat.Tag1)=3,February!Monat.UeZUeVM,IF(MONTH(Monat.Tag1)=4,March!Monat.UeZUeVM,IF(MONTH(Monat.Tag1)=5,April!Monat.UeZUeVM,IF(MONTH(Monat.Tag1)=6,May!Monat.UeZUeVM,IF(MONTH(Monat.Tag1)=7,June!Monat.UeZUeVM,IF(MONTH(Monat.Tag1)=8,July!Monat.UeZUeVM,IF(MONTH(Monat.Tag1)=9,August!Monat.UeZUeVM,IF(MONTH(Monat.Tag1)=10,September!Monat.UeZUeVM,IF(MONTH(Monat.Tag1)=11,October!Monat.UeZUeVM,IF(MONTH(Monat.Tag1)=12,November!Monat.UeZUeVM,"")))))))))))),"")</f>
        <v>0</v>
      </c>
      <c r="AL65" s="209"/>
      <c r="AM65" s="246">
        <f ca="1">AH65+AK65</f>
        <v>0</v>
      </c>
      <c r="AN65" s="246">
        <f ca="1">SUM(OFFSET(J.UeZ.Total,-12,0,MONTH(Monat.Tag1),1))</f>
        <v>0</v>
      </c>
      <c r="AO65" s="246">
        <f ca="1">J.UeZ.Total</f>
        <v>0</v>
      </c>
      <c r="AP65" s="163"/>
    </row>
    <row r="66" spans="1:42" s="38" customFormat="1" ht="11.25" customHeight="1" outlineLevel="1" x14ac:dyDescent="0.2">
      <c r="A66" s="220"/>
      <c r="B66" s="354">
        <f ca="1">IF(EB.Anwendung&lt;&gt;"",
IF(AND(B$10&gt;TODAY(),$W$7&gt;0,B52&lt;=0),0,
IF(AND(B$10&gt;TODAY(),$W$7&lt;=0,B53&lt;=0),0,
IF(B85&lt;=0,1,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f>
        <v>1</v>
      </c>
      <c r="C66" s="354">
        <f ca="1">IF(EB.Anwendung&lt;&gt;"",
IF(AND(C$10&gt;TODAY(),$W$7&gt;0,C52&lt;=0),0,
IF(AND(C$10&gt;TODAY(),$W$7&lt;=0,C53&lt;=0),0,
IF(C85&lt;=0,1,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f>
        <v>1</v>
      </c>
      <c r="D66" s="354">
        <f ca="1">IF(EB.Anwendung&lt;&gt;"",
IF(AND(D$10&gt;TODAY(),$W$7&gt;0,D52&lt;=0),0,
IF(AND(D$10&gt;TODAY(),$W$7&lt;=0,D53&lt;=0),0,
IF(D85&lt;=0,1,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f>
        <v>1</v>
      </c>
      <c r="E66" s="354">
        <f ca="1">IF(EB.Anwendung&lt;&gt;"",
IF(AND(E$10&gt;TODAY(),$W$7&gt;0,E52&lt;=0),0,
IF(AND(E$10&gt;TODAY(),$W$7&lt;=0,E53&lt;=0),0,
IF(E85&lt;=0,1,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f>
        <v>0</v>
      </c>
      <c r="F66" s="354">
        <f ca="1">IF(EB.Anwendung&lt;&gt;"",
IF(AND(F$10&gt;TODAY(),$W$7&gt;0,F52&lt;=0),0,
IF(AND(F$10&gt;TODAY(),$W$7&lt;=0,F53&lt;=0),0,
IF(F85&lt;=0,1,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f>
        <v>0</v>
      </c>
      <c r="G66" s="354">
        <f ca="1">IF(EB.Anwendung&lt;&gt;"",
IF(AND(G$10&gt;TODAY(),$W$7&gt;0,G52&lt;=0),0,
IF(AND(G$10&gt;TODAY(),$W$7&lt;=0,G53&lt;=0),0,
IF(G85&lt;=0,1,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f>
        <v>1</v>
      </c>
      <c r="H66" s="354">
        <f ca="1">IF(EB.Anwendung&lt;&gt;"",
IF(AND(H$10&gt;TODAY(),$W$7&gt;0,H52&lt;=0),0,
IF(AND(H$10&gt;TODAY(),$W$7&lt;=0,H53&lt;=0),0,
IF(H85&lt;=0,1,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f>
        <v>1</v>
      </c>
      <c r="I66" s="354">
        <f ca="1">IF(EB.Anwendung&lt;&gt;"",
IF(AND(I$10&gt;TODAY(),$W$7&gt;0,I52&lt;=0),0,
IF(AND(I$10&gt;TODAY(),$W$7&lt;=0,I53&lt;=0),0,
IF(I85&lt;=0,1,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f>
        <v>1</v>
      </c>
      <c r="J66" s="354">
        <f ca="1">IF(EB.Anwendung&lt;&gt;"",
IF(AND(J$10&gt;TODAY(),$W$7&gt;0,J52&lt;=0),0,
IF(AND(J$10&gt;TODAY(),$W$7&lt;=0,J53&lt;=0),0,
IF(J85&lt;=0,1,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f>
        <v>1</v>
      </c>
      <c r="K66" s="354">
        <f ca="1">IF(EB.Anwendung&lt;&gt;"",
IF(AND(K$10&gt;TODAY(),$W$7&gt;0,K52&lt;=0),0,
IF(AND(K$10&gt;TODAY(),$W$7&lt;=0,K53&lt;=0),0,
IF(K85&lt;=0,1,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f>
        <v>0</v>
      </c>
      <c r="L66" s="431">
        <f ca="1">IF(EB.Anwendung&lt;&gt;"",
IF(AND(L$10&gt;TODAY(),$W$7&gt;0,L52&lt;=0),0,
IF(AND(L$10&gt;TODAY(),$W$7&lt;=0,L53&lt;=0),0,
IF(L85&lt;=0,1,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f>
        <v>0</v>
      </c>
      <c r="M66" s="354">
        <f ca="1">IF(EB.Anwendung&lt;&gt;"",
IF(AND(M$10&gt;TODAY(),$W$7&gt;0,M52&lt;=0),0,
IF(AND(M$10&gt;TODAY(),$W$7&lt;=0,M53&lt;=0),0,
IF(M85&lt;=0,1,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f>
        <v>0</v>
      </c>
      <c r="N66" s="354">
        <f ca="1">IF(EB.Anwendung&lt;&gt;"",
IF(AND(N$10&gt;TODAY(),$W$7&gt;0,N52&lt;=0),0,
IF(AND(N$10&gt;TODAY(),$W$7&lt;=0,N53&lt;=0),0,
IF(N85&lt;=0,1,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f>
        <v>0</v>
      </c>
      <c r="O66" s="354">
        <f ca="1">IF(EB.Anwendung&lt;&gt;"",
IF(AND(O$10&gt;TODAY(),$W$7&gt;0,O52&lt;=0),0,
IF(AND(O$10&gt;TODAY(),$W$7&lt;=0,O53&lt;=0),0,
IF(O85&lt;=0,1,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f>
        <v>1</v>
      </c>
      <c r="P66" s="354">
        <f ca="1">IF(EB.Anwendung&lt;&gt;"",
IF(AND(P$10&gt;TODAY(),$W$7&gt;0,P52&lt;=0),0,
IF(AND(P$10&gt;TODAY(),$W$7&lt;=0,P53&lt;=0),0,
IF(P85&lt;=0,1,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f>
        <v>1</v>
      </c>
      <c r="Q66" s="354">
        <f ca="1">IF(EB.Anwendung&lt;&gt;"",
IF(AND(Q$10&gt;TODAY(),$W$7&gt;0,Q52&lt;=0),0,
IF(AND(Q$10&gt;TODAY(),$W$7&lt;=0,Q53&lt;=0),0,
IF(Q85&lt;=0,1,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f>
        <v>1</v>
      </c>
      <c r="R66" s="354">
        <f ca="1">IF(EB.Anwendung&lt;&gt;"",
IF(AND(R$10&gt;TODAY(),$W$7&gt;0,R52&lt;=0),0,
IF(AND(R$10&gt;TODAY(),$W$7&lt;=0,R53&lt;=0),0,
IF(R85&lt;=0,1,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f>
        <v>1</v>
      </c>
      <c r="S66" s="431">
        <f ca="1">IF(EB.Anwendung&lt;&gt;"",
IF(AND(S$10&gt;TODAY(),$W$7&gt;0,S52&lt;=0),0,
IF(AND(S$10&gt;TODAY(),$W$7&lt;=0,S53&lt;=0),0,
IF(S85&lt;=0,1,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f>
        <v>0</v>
      </c>
      <c r="T66" s="354">
        <f ca="1">IF(EB.Anwendung&lt;&gt;"",
IF(AND(T$10&gt;TODAY(),$W$7&gt;0,T52&lt;=0),0,
IF(AND(T$10&gt;TODAY(),$W$7&lt;=0,T53&lt;=0),0,
IF(T85&lt;=0,1,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f>
        <v>0</v>
      </c>
      <c r="U66" s="354">
        <f ca="1">IF(EB.Anwendung&lt;&gt;"",
IF(AND(U$10&gt;TODAY(),$W$7&gt;0,U52&lt;=0),0,
IF(AND(U$10&gt;TODAY(),$W$7&lt;=0,U53&lt;=0),0,
IF(U85&lt;=0,1,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f>
        <v>1</v>
      </c>
      <c r="V66" s="354">
        <f ca="1">IF(EB.Anwendung&lt;&gt;"",
IF(AND(V$10&gt;TODAY(),$W$7&gt;0,V52&lt;=0),0,
IF(AND(V$10&gt;TODAY(),$W$7&lt;=0,V53&lt;=0),0,
IF(V85&lt;=0,1,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f>
        <v>1</v>
      </c>
      <c r="W66" s="354">
        <f ca="1">IF(EB.Anwendung&lt;&gt;"",
IF(AND(W$10&gt;TODAY(),$W$7&gt;0,W52&lt;=0),0,
IF(AND(W$10&gt;TODAY(),$W$7&lt;=0,W53&lt;=0),0,
IF(W85&lt;=0,1,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f>
        <v>1</v>
      </c>
      <c r="X66" s="432">
        <f ca="1">IF(EB.Anwendung&lt;&gt;"",
IF(AND(X$10&gt;TODAY(),$W$7&gt;0,X52&lt;=0),0,
IF(AND(X$10&gt;TODAY(),$W$7&lt;=0,X53&lt;=0),0,
IF(X85&lt;=0,1,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f>
        <v>1</v>
      </c>
      <c r="Y66" s="354">
        <f ca="1">IF(EB.Anwendung&lt;&gt;"",
IF(AND(Y$10&gt;TODAY(),$W$7&gt;0,Y52&lt;=0),0,
IF(AND(Y$10&gt;TODAY(),$W$7&lt;=0,Y53&lt;=0),0,
IF(Y85&lt;=0,1,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f>
        <v>1</v>
      </c>
      <c r="Z66" s="354">
        <f ca="1">IF(EB.Anwendung&lt;&gt;"",
IF(AND(Z$10&gt;TODAY(),$W$7&gt;0,Z52&lt;=0),0,
IF(AND(Z$10&gt;TODAY(),$W$7&lt;=0,Z53&lt;=0),0,
IF(Z85&lt;=0,1,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f>
        <v>0</v>
      </c>
      <c r="AA66" s="354">
        <f ca="1">IF(EB.Anwendung&lt;&gt;"",
IF(AND(AA$10&gt;TODAY(),$W$7&gt;0,AA52&lt;=0),0,
IF(AND(AA$10&gt;TODAY(),$W$7&lt;=0,AA53&lt;=0),0,
IF(AA85&lt;=0,1,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f>
        <v>0</v>
      </c>
      <c r="AB66" s="354">
        <f ca="1">IF(EB.Anwendung&lt;&gt;"",
IF(AND(AB$10&gt;TODAY(),$W$7&gt;0,AB52&lt;=0),0,
IF(AND(AB$10&gt;TODAY(),$W$7&lt;=0,AB53&lt;=0),0,
IF(AB85&lt;=0,1,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f>
        <v>1</v>
      </c>
      <c r="AC66" s="354">
        <f ca="1">IF(EB.Anwendung&lt;&gt;"",
IF(AND(AC$10&gt;TODAY(),$W$7&gt;0,AC52&lt;=0),0,
IF(AND(AC$10&gt;TODAY(),$W$7&lt;=0,AC53&lt;=0),0,
IF(AC85&lt;=0,1,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f>
        <v>1</v>
      </c>
      <c r="AD66" s="354">
        <f ca="1">IF(EB.Anwendung&lt;&gt;"",
IF(AND(AD$10&gt;TODAY(),$W$7&gt;0,AD52&lt;=0),0,
IF(AND(AD$10&gt;TODAY(),$W$7&lt;=0,AD53&lt;=0),0,
IF(AD85&lt;=0,1,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f>
        <v>1</v>
      </c>
      <c r="AE66" s="354">
        <f ca="1">IF(EB.Anwendung&lt;&gt;"",
IF(AND(AE$10&gt;TODAY(),$W$7&gt;0,AE52&lt;=0),0,
IF(AND(AE$10&gt;TODAY(),$W$7&lt;=0,AE53&lt;=0),0,
IF(AE85&lt;=0,1,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f>
        <v>1</v>
      </c>
      <c r="AF66" s="212"/>
      <c r="AG66" s="188"/>
      <c r="AH66" s="213"/>
      <c r="AI66" s="214"/>
      <c r="AJ66" s="209"/>
      <c r="AK66" s="209"/>
      <c r="AL66" s="209"/>
      <c r="AM66" s="208"/>
      <c r="AN66" s="209"/>
      <c r="AO66" s="209"/>
      <c r="AP66" s="119"/>
    </row>
    <row r="67" spans="1:42" s="38" customFormat="1" ht="15" customHeight="1" outlineLevel="1" x14ac:dyDescent="0.2">
      <c r="A67" s="212" t="s">
        <v>79</v>
      </c>
      <c r="B67" s="27"/>
      <c r="C67" s="27"/>
      <c r="D67" s="27"/>
      <c r="E67" s="27"/>
      <c r="F67" s="27"/>
      <c r="G67" s="27"/>
      <c r="H67" s="27"/>
      <c r="I67" s="27"/>
      <c r="J67" s="27"/>
      <c r="K67" s="27"/>
      <c r="L67" s="27"/>
      <c r="M67" s="27"/>
      <c r="N67" s="27"/>
      <c r="O67" s="27"/>
      <c r="P67" s="27"/>
      <c r="Q67" s="27"/>
      <c r="R67" s="27"/>
      <c r="S67" s="27"/>
      <c r="T67" s="27"/>
      <c r="U67" s="27"/>
      <c r="V67" s="27"/>
      <c r="W67" s="27"/>
      <c r="X67" s="27"/>
      <c r="Y67" s="27"/>
      <c r="Z67" s="39"/>
      <c r="AA67" s="27"/>
      <c r="AB67" s="27"/>
      <c r="AC67" s="27"/>
      <c r="AD67" s="27"/>
      <c r="AE67" s="27"/>
      <c r="AF67" s="205" t="str">
        <f ca="1">A67 &amp; IFERROR(IF(SUMPRODUCT((B66:AE66=0)*(B67:AE67&gt;0))&gt;0," (!)",""),"")</f>
        <v>Compensation working hours</v>
      </c>
      <c r="AG67" s="218"/>
      <c r="AH67" s="238">
        <f>SUM(B67:AE67)</f>
        <v>0</v>
      </c>
      <c r="AI67" s="261"/>
      <c r="AJ67" s="245">
        <f ca="1">OFFSET(EB.MKAStd.Knoten,MONTH(Monat.Tag1),0,1,1)</f>
        <v>0.4375</v>
      </c>
      <c r="AK67" s="272">
        <f ca="1">IF(EB.Anwendung&lt;&gt;"",IF(MONTH(Monat.Tag1)=1,0,IF(MONTH(Monat.Tag1)=2,January!Monat.KomUeVM,IF(MONTH(Monat.Tag1)=3,February!Monat.KomUeVM,IF(MONTH(Monat.Tag1)=4,March!Monat.KomUeVM,IF(MONTH(Monat.Tag1)=5,April!Monat.KomUeVM,IF(MONTH(Monat.Tag1)=6,May!Monat.KomUeVM,IF(MONTH(Monat.Tag1)=7,June!Monat.KomUeVM,IF(MONTH(Monat.Tag1)=8,July!Monat.KomUeVM,IF(MONTH(Monat.Tag1)=9,August!Monat.KomUeVM,IF(MONTH(Monat.Tag1)=10,September!Monat.KomUeVM,IF(MONTH(Monat.Tag1)=11,October!Monat.KomUeVM,IF(MONTH(Monat.Tag1)=12,November!Monat.KomUeVM,"")))))))))))),"")</f>
        <v>1.3125</v>
      </c>
      <c r="AL67" s="209"/>
      <c r="AM67" s="246">
        <f ca="1">AJ67+AK67-Monat.KomAZ.Total</f>
        <v>1.75</v>
      </c>
      <c r="AN67" s="246">
        <f ca="1">Jahresabrechnung!P12-SUM(OFFSET(Jahresabrechnung!P15,0,0,MONTH(Monat.Tag1),1))</f>
        <v>5.25</v>
      </c>
      <c r="AO67" s="246">
        <f ca="1">Jahresabrechnung!P28</f>
        <v>5.25</v>
      </c>
      <c r="AP67" s="119"/>
    </row>
    <row r="68" spans="1:42" s="38" customFormat="1" ht="11.25" customHeight="1" x14ac:dyDescent="0.2">
      <c r="A68" s="220"/>
      <c r="B68" s="434">
        <f ca="1">IF(EB.Anwendung&lt;&gt;"",
IF(B67&gt;0,0,
IF(SUM(B23,B45)&gt;0,1,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
)),"")</f>
        <v>1</v>
      </c>
      <c r="C68" s="434">
        <f ca="1">IF(EB.Anwendung&lt;&gt;"",
IF(C67&gt;0,0,
IF(SUM(C23,C45)&gt;0,1,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
)),"")</f>
        <v>1</v>
      </c>
      <c r="D68" s="434">
        <f ca="1">IF(EB.Anwendung&lt;&gt;"",
IF(D67&gt;0,0,
IF(SUM(D23,D45)&gt;0,1,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
)),"")</f>
        <v>1</v>
      </c>
      <c r="E68" s="434">
        <f ca="1">IF(EB.Anwendung&lt;&gt;"",
IF(E67&gt;0,0,
IF(SUM(E23,E45)&gt;0,1,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
)),"")</f>
        <v>1</v>
      </c>
      <c r="F68" s="434">
        <f ca="1">IF(EB.Anwendung&lt;&gt;"",
IF(F67&gt;0,0,
IF(SUM(F23,F45)&gt;0,1,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
)),"")</f>
        <v>1</v>
      </c>
      <c r="G68" s="434">
        <f ca="1">IF(EB.Anwendung&lt;&gt;"",
IF(G67&gt;0,0,
IF(SUM(G23,G45)&gt;0,1,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
)),"")</f>
        <v>1</v>
      </c>
      <c r="H68" s="434">
        <f ca="1">IF(EB.Anwendung&lt;&gt;"",
IF(H67&gt;0,0,
IF(SUM(H23,H45)&gt;0,1,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
)),"")</f>
        <v>1</v>
      </c>
      <c r="I68" s="434">
        <f ca="1">IF(EB.Anwendung&lt;&gt;"",
IF(I67&gt;0,0,
IF(SUM(I23,I45)&gt;0,1,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
)),"")</f>
        <v>1</v>
      </c>
      <c r="J68" s="434">
        <f ca="1">IF(EB.Anwendung&lt;&gt;"",
IF(J67&gt;0,0,
IF(SUM(J23,J45)&gt;0,1,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
)),"")</f>
        <v>1</v>
      </c>
      <c r="K68" s="434">
        <f ca="1">IF(EB.Anwendung&lt;&gt;"",
IF(K67&gt;0,0,
IF(SUM(K23,K45)&gt;0,1,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
)),"")</f>
        <v>1</v>
      </c>
      <c r="L68" s="434">
        <f ca="1">IF(EB.Anwendung&lt;&gt;"",
IF(L67&gt;0,0,
IF(SUM(L23,L45)&gt;0,1,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
)),"")</f>
        <v>1</v>
      </c>
      <c r="M68" s="434">
        <f ca="1">IF(EB.Anwendung&lt;&gt;"",
IF(M67&gt;0,0,
IF(SUM(M23,M45)&gt;0,1,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
)),"")</f>
        <v>1</v>
      </c>
      <c r="N68" s="434">
        <f ca="1">IF(EB.Anwendung&lt;&gt;"",
IF(N67&gt;0,0,
IF(SUM(N23,N45)&gt;0,1,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
)),"")</f>
        <v>1</v>
      </c>
      <c r="O68" s="434">
        <f ca="1">IF(EB.Anwendung&lt;&gt;"",
IF(O67&gt;0,0,
IF(SUM(O23,O45)&gt;0,1,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
)),"")</f>
        <v>1</v>
      </c>
      <c r="P68" s="434">
        <f ca="1">IF(EB.Anwendung&lt;&gt;"",
IF(P67&gt;0,0,
IF(SUM(P23,P45)&gt;0,1,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
)),"")</f>
        <v>1</v>
      </c>
      <c r="Q68" s="434">
        <f ca="1">IF(EB.Anwendung&lt;&gt;"",
IF(Q67&gt;0,0,
IF(SUM(Q23,Q45)&gt;0,1,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
)),"")</f>
        <v>1</v>
      </c>
      <c r="R68" s="434">
        <f ca="1">IF(EB.Anwendung&lt;&gt;"",
IF(R67&gt;0,0,
IF(SUM(R23,R45)&gt;0,1,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
)),"")</f>
        <v>1</v>
      </c>
      <c r="S68" s="434">
        <f ca="1">IF(EB.Anwendung&lt;&gt;"",
IF(S67&gt;0,0,
IF(SUM(S23,S45)&gt;0,1,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
)),"")</f>
        <v>1</v>
      </c>
      <c r="T68" s="434">
        <f ca="1">IF(EB.Anwendung&lt;&gt;"",
IF(T67&gt;0,0,
IF(SUM(T23,T45)&gt;0,1,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
)),"")</f>
        <v>1</v>
      </c>
      <c r="U68" s="434">
        <f ca="1">IF(EB.Anwendung&lt;&gt;"",
IF(U67&gt;0,0,
IF(SUM(U23,U45)&gt;0,1,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
)),"")</f>
        <v>1</v>
      </c>
      <c r="V68" s="434">
        <f ca="1">IF(EB.Anwendung&lt;&gt;"",
IF(V67&gt;0,0,
IF(SUM(V23,V45)&gt;0,1,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
)),"")</f>
        <v>1</v>
      </c>
      <c r="W68" s="434">
        <f ca="1">IF(EB.Anwendung&lt;&gt;"",
IF(W67&gt;0,0,
IF(SUM(W23,W45)&gt;0,1,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
)),"")</f>
        <v>1</v>
      </c>
      <c r="X68" s="434">
        <f ca="1">IF(EB.Anwendung&lt;&gt;"",
IF(X67&gt;0,0,
IF(SUM(X23,X45)&gt;0,1,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
)),"")</f>
        <v>1</v>
      </c>
      <c r="Y68" s="434">
        <f ca="1">IF(EB.Anwendung&lt;&gt;"",
IF(Y67&gt;0,0,
IF(SUM(Y23,Y45)&gt;0,1,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
)),"")</f>
        <v>1</v>
      </c>
      <c r="Z68" s="434">
        <f ca="1">IF(EB.Anwendung&lt;&gt;"",
IF(Z67&gt;0,0,
IF(SUM(Z23,Z45)&gt;0,1,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
)),"")</f>
        <v>1</v>
      </c>
      <c r="AA68" s="434">
        <f ca="1">IF(EB.Anwendung&lt;&gt;"",
IF(AA67&gt;0,0,
IF(SUM(AA23,AA45)&gt;0,1,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
)),"")</f>
        <v>1</v>
      </c>
      <c r="AB68" s="434">
        <f ca="1">IF(EB.Anwendung&lt;&gt;"",
IF(AB67&gt;0,0,
IF(SUM(AB23,AB45)&gt;0,1,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
)),"")</f>
        <v>1</v>
      </c>
      <c r="AC68" s="434">
        <f ca="1">IF(EB.Anwendung&lt;&gt;"",
IF(AC67&gt;0,0,
IF(SUM(AC23,AC45)&gt;0,1,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
)),"")</f>
        <v>1</v>
      </c>
      <c r="AD68" s="434">
        <f ca="1">IF(EB.Anwendung&lt;&gt;"",
IF(AD67&gt;0,0,
IF(SUM(AD23,AD45)&gt;0,1,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
)),"")</f>
        <v>1</v>
      </c>
      <c r="AE68" s="434">
        <f ca="1">IF(EB.Anwendung&lt;&gt;"",
IF(AE67&gt;0,0,
IF(SUM(AE23,AE45)&gt;0,1,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
)),"")</f>
        <v>1</v>
      </c>
      <c r="AF68" s="205"/>
      <c r="AG68" s="188"/>
      <c r="AH68" s="213"/>
      <c r="AI68" s="214"/>
      <c r="AJ68" s="209"/>
      <c r="AK68" s="209"/>
      <c r="AL68" s="209"/>
      <c r="AM68" s="436">
        <f ca="1">IF(OFFSET(A68,0,DAY(EOMONTH(Monat.Tag1,0)))=0,0,1)</f>
        <v>1</v>
      </c>
      <c r="AN68" s="209"/>
      <c r="AO68" s="209"/>
      <c r="AP68" s="119"/>
    </row>
    <row r="69" spans="1:42" s="38" customFormat="1" ht="15" hidden="1" customHeight="1" x14ac:dyDescent="0.2">
      <c r="A69" s="212" t="s">
        <v>220</v>
      </c>
      <c r="B69" s="273">
        <f t="shared" ref="B69:AE69" ca="1" si="19">IF(AND(T.50_Vetsuisse,B72=INDEX(T.JaNein.Bereich,1,1),B73&gt;0,MOD(IFERROR(MATCH(1,B13:B22,0),1),2)=0),1,
IF(AND(T.ServiceCenterIrchel,B72=INDEX(T.JaNein.Bereich,1,1),B77&gt;0),1,
IF(AND(T.50_Vetsuisse=FALSE,T.ServiceCenterIrchel=FALSE,B77&gt;0),1,0)))</f>
        <v>0</v>
      </c>
      <c r="C69" s="273">
        <f t="shared" ca="1" si="19"/>
        <v>0</v>
      </c>
      <c r="D69" s="273">
        <f t="shared" ca="1" si="19"/>
        <v>0</v>
      </c>
      <c r="E69" s="273">
        <f t="shared" ca="1" si="19"/>
        <v>0</v>
      </c>
      <c r="F69" s="273">
        <f t="shared" ca="1" si="19"/>
        <v>0</v>
      </c>
      <c r="G69" s="273">
        <f t="shared" ca="1" si="19"/>
        <v>0</v>
      </c>
      <c r="H69" s="273">
        <f t="shared" ca="1" si="19"/>
        <v>0</v>
      </c>
      <c r="I69" s="273">
        <f t="shared" ca="1" si="19"/>
        <v>0</v>
      </c>
      <c r="J69" s="273">
        <f t="shared" ca="1" si="19"/>
        <v>0</v>
      </c>
      <c r="K69" s="273">
        <f t="shared" ca="1" si="19"/>
        <v>0</v>
      </c>
      <c r="L69" s="273">
        <f t="shared" ca="1" si="19"/>
        <v>0</v>
      </c>
      <c r="M69" s="273">
        <f t="shared" ca="1" si="19"/>
        <v>0</v>
      </c>
      <c r="N69" s="273">
        <f t="shared" ca="1" si="19"/>
        <v>0</v>
      </c>
      <c r="O69" s="273">
        <f t="shared" ca="1" si="19"/>
        <v>0</v>
      </c>
      <c r="P69" s="273">
        <f t="shared" ca="1" si="19"/>
        <v>0</v>
      </c>
      <c r="Q69" s="273">
        <f t="shared" ca="1" si="19"/>
        <v>0</v>
      </c>
      <c r="R69" s="273">
        <f t="shared" ca="1" si="19"/>
        <v>0</v>
      </c>
      <c r="S69" s="273">
        <f t="shared" ca="1" si="19"/>
        <v>0</v>
      </c>
      <c r="T69" s="273">
        <f t="shared" ca="1" si="19"/>
        <v>0</v>
      </c>
      <c r="U69" s="273">
        <f t="shared" ca="1" si="19"/>
        <v>0</v>
      </c>
      <c r="V69" s="273">
        <f t="shared" ca="1" si="19"/>
        <v>0</v>
      </c>
      <c r="W69" s="273">
        <f t="shared" ca="1" si="19"/>
        <v>0</v>
      </c>
      <c r="X69" s="273">
        <f t="shared" ca="1" si="19"/>
        <v>0</v>
      </c>
      <c r="Y69" s="273">
        <f t="shared" ca="1" si="19"/>
        <v>0</v>
      </c>
      <c r="Z69" s="273">
        <f t="shared" ca="1" si="19"/>
        <v>0</v>
      </c>
      <c r="AA69" s="273">
        <f t="shared" ca="1" si="19"/>
        <v>0</v>
      </c>
      <c r="AB69" s="273">
        <f t="shared" ca="1" si="19"/>
        <v>0</v>
      </c>
      <c r="AC69" s="273">
        <f t="shared" ca="1" si="19"/>
        <v>0</v>
      </c>
      <c r="AD69" s="273">
        <f t="shared" ca="1" si="19"/>
        <v>0</v>
      </c>
      <c r="AE69" s="273">
        <f t="shared" ca="1" si="19"/>
        <v>0</v>
      </c>
      <c r="AF69" s="205" t="str">
        <f>A69</f>
        <v>Counter night shift</v>
      </c>
      <c r="AG69" s="274"/>
      <c r="AH69" s="275">
        <f ca="1">SUM(B69:AE69)</f>
        <v>0</v>
      </c>
      <c r="AI69" s="261"/>
      <c r="AJ69" s="224"/>
      <c r="AK69" s="276">
        <f ca="1">IF(EB.Anwendung&lt;&gt;"",IF(MONTH(Monat.Tag1)=1,0,IF(MONTH(Monat.Tag1)=2,January!Monat.ZählerNDUe,IF(MONTH(Monat.Tag1)=3,February!Monat.ZählerNDUe,IF(MONTH(Monat.Tag1)=4,March!Monat.ZählerNDUe,IF(MONTH(Monat.Tag1)=5,April!Monat.ZählerNDUe,IF(MONTH(Monat.Tag1)=6,May!Monat.ZählerNDUe,IF(MONTH(Monat.Tag1)=7,June!Monat.ZählerNDUe,IF(MONTH(Monat.Tag1)=8,July!Monat.ZählerNDUe,IF(MONTH(Monat.Tag1)=9,August!Monat.ZählerNDUe,IF(MONTH(Monat.Tag1)=10,September!Monat.ZählerNDUe,IF(MONTH(Monat.Tag1)=11,October!Monat.ZählerNDUe,IF(MONTH(Monat.Tag1)=12,November!Monat.ZählerNDUe,"")))))))))))),"")</f>
        <v>0</v>
      </c>
      <c r="AL69" s="209"/>
      <c r="AM69" s="277">
        <f ca="1">AK69+AH69</f>
        <v>0</v>
      </c>
      <c r="AN69" s="208"/>
      <c r="AO69" s="208"/>
      <c r="AP69" s="119"/>
    </row>
    <row r="70" spans="1:42" s="38" customFormat="1" ht="15" hidden="1" customHeight="1" x14ac:dyDescent="0.2">
      <c r="A70" s="212" t="s">
        <v>221</v>
      </c>
      <c r="B70" s="273">
        <f t="shared" ref="B70:AE70" ca="1" si="20">IF(DAY(B$10)=1,$AK$69,A70)+B69</f>
        <v>0</v>
      </c>
      <c r="C70" s="273">
        <f t="shared" ca="1" si="20"/>
        <v>0</v>
      </c>
      <c r="D70" s="273">
        <f t="shared" ca="1" si="20"/>
        <v>0</v>
      </c>
      <c r="E70" s="273">
        <f t="shared" ca="1" si="20"/>
        <v>0</v>
      </c>
      <c r="F70" s="273">
        <f t="shared" ca="1" si="20"/>
        <v>0</v>
      </c>
      <c r="G70" s="273">
        <f t="shared" ca="1" si="20"/>
        <v>0</v>
      </c>
      <c r="H70" s="273">
        <f t="shared" ca="1" si="20"/>
        <v>0</v>
      </c>
      <c r="I70" s="273">
        <f t="shared" ca="1" si="20"/>
        <v>0</v>
      </c>
      <c r="J70" s="273">
        <f t="shared" ca="1" si="20"/>
        <v>0</v>
      </c>
      <c r="K70" s="273">
        <f t="shared" ca="1" si="20"/>
        <v>0</v>
      </c>
      <c r="L70" s="273">
        <f t="shared" ca="1" si="20"/>
        <v>0</v>
      </c>
      <c r="M70" s="273">
        <f t="shared" ca="1" si="20"/>
        <v>0</v>
      </c>
      <c r="N70" s="273">
        <f t="shared" ca="1" si="20"/>
        <v>0</v>
      </c>
      <c r="O70" s="273">
        <f t="shared" ca="1" si="20"/>
        <v>0</v>
      </c>
      <c r="P70" s="273">
        <f t="shared" ca="1" si="20"/>
        <v>0</v>
      </c>
      <c r="Q70" s="273">
        <f t="shared" ca="1" si="20"/>
        <v>0</v>
      </c>
      <c r="R70" s="273">
        <f t="shared" ca="1" si="20"/>
        <v>0</v>
      </c>
      <c r="S70" s="273">
        <f t="shared" ca="1" si="20"/>
        <v>0</v>
      </c>
      <c r="T70" s="273">
        <f t="shared" ca="1" si="20"/>
        <v>0</v>
      </c>
      <c r="U70" s="273">
        <f t="shared" ca="1" si="20"/>
        <v>0</v>
      </c>
      <c r="V70" s="273">
        <f t="shared" ca="1" si="20"/>
        <v>0</v>
      </c>
      <c r="W70" s="273">
        <f t="shared" ca="1" si="20"/>
        <v>0</v>
      </c>
      <c r="X70" s="273">
        <f t="shared" ca="1" si="20"/>
        <v>0</v>
      </c>
      <c r="Y70" s="273">
        <f t="shared" ca="1" si="20"/>
        <v>0</v>
      </c>
      <c r="Z70" s="273">
        <f t="shared" ca="1" si="20"/>
        <v>0</v>
      </c>
      <c r="AA70" s="273">
        <f t="shared" ca="1" si="20"/>
        <v>0</v>
      </c>
      <c r="AB70" s="273">
        <f t="shared" ca="1" si="20"/>
        <v>0</v>
      </c>
      <c r="AC70" s="273">
        <f t="shared" ca="1" si="20"/>
        <v>0</v>
      </c>
      <c r="AD70" s="273">
        <f t="shared" ca="1" si="20"/>
        <v>0</v>
      </c>
      <c r="AE70" s="273">
        <f t="shared" ca="1" si="20"/>
        <v>0</v>
      </c>
      <c r="AF70" s="205" t="str">
        <f>A70</f>
        <v>Balance counter night shift</v>
      </c>
      <c r="AG70" s="228"/>
      <c r="AH70" s="224"/>
      <c r="AI70" s="278"/>
      <c r="AJ70" s="262"/>
      <c r="AK70" s="262"/>
      <c r="AL70" s="209"/>
      <c r="AM70" s="279"/>
      <c r="AN70" s="208"/>
      <c r="AO70" s="208"/>
      <c r="AP70" s="119"/>
    </row>
    <row r="71" spans="1:42" s="38" customFormat="1" ht="15" hidden="1" customHeight="1" outlineLevel="1" x14ac:dyDescent="0.2">
      <c r="A71" s="212" t="s">
        <v>222</v>
      </c>
      <c r="B71" s="40"/>
      <c r="C71" s="40"/>
      <c r="D71" s="40"/>
      <c r="E71" s="27"/>
      <c r="F71" s="40"/>
      <c r="G71" s="40"/>
      <c r="H71" s="40"/>
      <c r="I71" s="40"/>
      <c r="J71" s="27"/>
      <c r="K71" s="40"/>
      <c r="L71" s="27"/>
      <c r="M71" s="40"/>
      <c r="N71" s="40"/>
      <c r="O71" s="40"/>
      <c r="P71" s="40"/>
      <c r="Q71" s="27"/>
      <c r="R71" s="40"/>
      <c r="S71" s="27"/>
      <c r="T71" s="27"/>
      <c r="U71" s="40"/>
      <c r="V71" s="40"/>
      <c r="W71" s="40"/>
      <c r="X71" s="27"/>
      <c r="Y71" s="40"/>
      <c r="Z71" s="39"/>
      <c r="AA71" s="40"/>
      <c r="AB71" s="40"/>
      <c r="AC71" s="40"/>
      <c r="AD71" s="40"/>
      <c r="AE71" s="27"/>
      <c r="AF71" s="205" t="str">
        <f>A71</f>
        <v>Compensation TS night shift</v>
      </c>
      <c r="AG71" s="218"/>
      <c r="AH71" s="238">
        <f>SUM(B71:AE71)</f>
        <v>0</v>
      </c>
      <c r="AI71" s="261"/>
      <c r="AJ71" s="262"/>
      <c r="AK71" s="245">
        <f ca="1">IF(EB.Anwendung&lt;&gt;"",IF(MONTH(Monat.Tag1)=1,0,IF(MONTH(Monat.Tag1)=2,January!Monat.KompZZSNDUeVM,IF(MONTH(Monat.Tag1)=3,February!Monat.KompZZSNDUeVM,IF(MONTH(Monat.Tag1)=4,March!Monat.KompZZSNDUeVM,IF(MONTH(Monat.Tag1)=5,April!Monat.KompZZSNDUeVM,IF(MONTH(Monat.Tag1)=6,May!Monat.KompZZSNDUeVM,IF(MONTH(Monat.Tag1)=7,June!Monat.KompZZSNDUeVM,IF(MONTH(Monat.Tag1)=8,July!Monat.KompZZSNDUeVM,IF(MONTH(Monat.Tag1)=9,August!Monat.KompZZSNDUeVM,IF(MONTH(Monat.Tag1)=10,September!Monat.KompZZSNDUeVM,IF(MONTH(Monat.Tag1)=11,October!Monat.KompZZSNDUeVM,IF(MONTH(Monat.Tag1)=12,November!Monat.KompZZSNDUeVM,"")))))))))))),"")</f>
        <v>0</v>
      </c>
      <c r="AL71" s="209"/>
      <c r="AM71" s="246">
        <f ca="1">AH71+AK71</f>
        <v>0</v>
      </c>
      <c r="AN71" s="246">
        <f ca="1">SUM(OFFSET(Jahr.KompZZSND,-12,0,MONTH(Monat.Tag1),1))</f>
        <v>0</v>
      </c>
      <c r="AO71" s="246">
        <f ca="1">Jahr.KompZZSND</f>
        <v>0</v>
      </c>
      <c r="AP71" s="119"/>
    </row>
    <row r="72" spans="1:42" s="38" customFormat="1" ht="15" hidden="1" customHeight="1" outlineLevel="1" x14ac:dyDescent="0.2">
      <c r="A72" s="212" t="s">
        <v>223</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205" t="str">
        <f>A72</f>
        <v>Start pl. night shift Yes/No</v>
      </c>
      <c r="AG72" s="218"/>
      <c r="AH72" s="224"/>
      <c r="AI72" s="229">
        <f ca="1">IFERROR(SUMPRODUCT((B72:AE72=INDEX(T.JaNein.Bereich,1))*(B72:AE72&lt;&gt;"")),0)</f>
        <v>0</v>
      </c>
      <c r="AJ72" s="262"/>
      <c r="AK72" s="229">
        <f ca="1">AK69</f>
        <v>0</v>
      </c>
      <c r="AL72" s="209"/>
      <c r="AM72" s="277">
        <f ca="1">AM69</f>
        <v>0</v>
      </c>
      <c r="AN72" s="209"/>
      <c r="AO72" s="209"/>
      <c r="AP72" s="119"/>
    </row>
    <row r="73" spans="1:42" s="38" customFormat="1" ht="15" customHeight="1" outlineLevel="1" x14ac:dyDescent="0.2">
      <c r="A73" s="212" t="s">
        <v>88</v>
      </c>
      <c r="B73" s="280">
        <f t="shared" ref="B73:AE73" ca="1" si="21">IF(B$12=0,0,IF(OR(T.50_Vetsuisse,T.ServiceCenterIrchel),ROUND((B14-B13+MAX(0,T.Nachtab-MAX(T.Nachtbis,B14))-MAX(0,T.Nachtab-MAX(B13,T.Nachtbis))+(B13&gt;B14)*(1+T.Nachtbis-T.Nachtab)+B16-B15+MAX(0,T.Nachtab-MAX(T.Nachtbis,B16))-MAX(0,T.Nachtab-MAX(B15,T.Nachtbis))+(B15&gt;B16)*(1+T.Nachtbis-T.Nachtab)+B18-B17+MAX(0,T.Nachtab-MAX(T.Nachtbis,B18))-MAX(0,T.Nachtab-MAX(B17,T.Nachtbis))+(B17&gt;B18)*(1+T.Nachtbis-T.Nachtab)+B20-B19+MAX(0,T.Nachtab-MAX(T.Nachtbis,B20))-MAX(0,T.Nachtab-MAX(B19,T.Nachtbis))+(B19&gt;B20)*(1+T.Nachtbis-T.Nachtab)+B22-B21+MAX(0,T.Nachtab-MAX(T.Nachtbis,B22))-MAX(0,T.Nachtab-MAX(B21,T.Nachtbis))+(B21&gt;B22)*(1+T.Nachtbis-T.Nachtab))*1440,0)/1440,
IF(AND(WEEKDAY(B$10,2)&lt;6,B$11&lt;&gt;0),ROUND((B36-B35+MAX(0,T.Nachtab-MAX(T.Nachtbis,B36))-MAX(0,T.Nachtab-MAX(B35,T.Nachtbis))+(B35&gt;B36)*(1+T.Nachtbis-T.Nachtab)+B38-B37+MAX(0,T.Nachtab-MAX(T.Nachtbis,B38))-MAX(0,T.Nachtab-MAX(B37,T.Nachtbis))+(B37&gt;B38)*(1+T.Nachtbis-T.Nachtab)+B40-B39+MAX(0,T.Nachtab-MAX(T.Nachtbis,B40))-MAX(0,T.Nachtab-MAX(B39,T.Nachtbis))+(B39&gt;B40)*(1+T.Nachtbis-T.Nachtab)+B42-B41+MAX(0,T.Nachtab-MAX(T.Nachtbis,B42))-MAX(0,T.Nachtab-MAX(B41,T.Nachtbis))+(B41&gt;B42)*(1+T.Nachtbis-T.Nachtab)+B44-B43+MAX(0,T.Nachtab-MAX(T.Nachtbis,B44))-MAX(0,T.Nachtab-MAX(B43,T.Nachtbis))+(B43&gt;B44)*(1+T.Nachtbis-T.Nachtab))*1440,0)/1440,0)))</f>
        <v>0</v>
      </c>
      <c r="C73" s="280">
        <f t="shared" ca="1" si="21"/>
        <v>0</v>
      </c>
      <c r="D73" s="280">
        <f t="shared" ca="1" si="21"/>
        <v>0</v>
      </c>
      <c r="E73" s="280">
        <f t="shared" ca="1" si="21"/>
        <v>0</v>
      </c>
      <c r="F73" s="280">
        <f t="shared" ca="1" si="21"/>
        <v>0</v>
      </c>
      <c r="G73" s="280">
        <f t="shared" ca="1" si="21"/>
        <v>0</v>
      </c>
      <c r="H73" s="280">
        <f t="shared" ca="1" si="21"/>
        <v>0</v>
      </c>
      <c r="I73" s="280">
        <f t="shared" ca="1" si="21"/>
        <v>0</v>
      </c>
      <c r="J73" s="280">
        <f t="shared" ca="1" si="21"/>
        <v>0</v>
      </c>
      <c r="K73" s="280">
        <f t="shared" ca="1" si="21"/>
        <v>0</v>
      </c>
      <c r="L73" s="280">
        <f t="shared" ca="1" si="21"/>
        <v>0</v>
      </c>
      <c r="M73" s="280">
        <f t="shared" ca="1" si="21"/>
        <v>0</v>
      </c>
      <c r="N73" s="280">
        <f t="shared" ca="1" si="21"/>
        <v>0</v>
      </c>
      <c r="O73" s="280">
        <f t="shared" ca="1" si="21"/>
        <v>0</v>
      </c>
      <c r="P73" s="280">
        <f t="shared" ca="1" si="21"/>
        <v>0</v>
      </c>
      <c r="Q73" s="280">
        <f t="shared" ca="1" si="21"/>
        <v>0</v>
      </c>
      <c r="R73" s="280">
        <f t="shared" ca="1" si="21"/>
        <v>0</v>
      </c>
      <c r="S73" s="280">
        <f t="shared" ca="1" si="21"/>
        <v>0</v>
      </c>
      <c r="T73" s="280">
        <f t="shared" ca="1" si="21"/>
        <v>0</v>
      </c>
      <c r="U73" s="280">
        <f t="shared" ca="1" si="21"/>
        <v>0</v>
      </c>
      <c r="V73" s="280">
        <f t="shared" ca="1" si="21"/>
        <v>0</v>
      </c>
      <c r="W73" s="280">
        <f t="shared" ca="1" si="21"/>
        <v>0</v>
      </c>
      <c r="X73" s="280">
        <f t="shared" ca="1" si="21"/>
        <v>0</v>
      </c>
      <c r="Y73" s="280">
        <f t="shared" ca="1" si="21"/>
        <v>0</v>
      </c>
      <c r="Z73" s="280">
        <f t="shared" ca="1" si="21"/>
        <v>0</v>
      </c>
      <c r="AA73" s="280">
        <f t="shared" ca="1" si="21"/>
        <v>0</v>
      </c>
      <c r="AB73" s="280">
        <f t="shared" ca="1" si="21"/>
        <v>0</v>
      </c>
      <c r="AC73" s="280">
        <f t="shared" ca="1" si="21"/>
        <v>0</v>
      </c>
      <c r="AD73" s="280">
        <f t="shared" ca="1" si="21"/>
        <v>0</v>
      </c>
      <c r="AE73" s="280">
        <f t="shared" ca="1" si="21"/>
        <v>0</v>
      </c>
      <c r="AF73" s="205" t="str">
        <f>A73</f>
        <v>Night shift</v>
      </c>
      <c r="AG73" s="228"/>
      <c r="AH73" s="238">
        <f ca="1">SUM(B73:AE73)</f>
        <v>0</v>
      </c>
      <c r="AI73" s="229">
        <f ca="1">IF(OR(T.50_Vetsuisse,T.ServiceCenterIrchel),AH69,
IFERROR(SUMPRODUCT((B77:AE77&gt;0)*(B77:AE77&lt;&gt;"")),0))</f>
        <v>0</v>
      </c>
      <c r="AJ73" s="224"/>
      <c r="AK73" s="245">
        <f ca="1">IF(EB.Anwendung&lt;&gt;"",IF(MONTH(Monat.Tag1)=1,0,IF(MONTH(Monat.Tag1)=2,January!Monat.NDUeVM,IF(MONTH(Monat.Tag1)=3,February!Monat.NDUeVM,IF(MONTH(Monat.Tag1)=4,March!Monat.NDUeVM,IF(MONTH(Monat.Tag1)=5,April!Monat.NDUeVM,IF(MONTH(Monat.Tag1)=6,May!Monat.NDUeVM,IF(MONTH(Monat.Tag1)=7,June!Monat.NDUeVM,IF(MONTH(Monat.Tag1)=8,July!Monat.NDUeVM,IF(MONTH(Monat.Tag1)=9,August!Monat.NDUeVM,IF(MONTH(Monat.Tag1)=10,September!Monat.NDUeVM,IF(MONTH(Monat.Tag1)=11,October!Monat.NDUeVM,IF(MONTH(Monat.Tag1)=12,November!Monat.NDUeVM,"")))))))))))),"")</f>
        <v>0</v>
      </c>
      <c r="AL73" s="209"/>
      <c r="AM73" s="246">
        <f ca="1">AH73+AK73</f>
        <v>0</v>
      </c>
      <c r="AN73" s="208"/>
      <c r="AO73" s="208"/>
      <c r="AP73" s="119"/>
    </row>
    <row r="74" spans="1:42" s="38" customFormat="1" ht="3.75" hidden="1" customHeight="1" x14ac:dyDescent="0.2">
      <c r="A74" s="220"/>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205"/>
      <c r="AG74" s="188"/>
      <c r="AH74" s="213"/>
      <c r="AI74" s="214"/>
      <c r="AJ74" s="209"/>
      <c r="AK74" s="209"/>
      <c r="AL74" s="209"/>
      <c r="AM74" s="208"/>
      <c r="AN74" s="209"/>
      <c r="AO74" s="209"/>
      <c r="AP74" s="119"/>
    </row>
    <row r="75" spans="1:42" s="38" customFormat="1" ht="16.5" hidden="1" customHeight="1" outlineLevel="1" x14ac:dyDescent="0.2">
      <c r="A75" s="215" t="s">
        <v>252</v>
      </c>
      <c r="B75" s="216">
        <f t="shared" ref="B75:AE75" ca="1" si="22">IF(B73&gt;0,ROUND((B73-
IF(B13&lt;T.Nachtbis,MIN(T.Nachtbis-B13,B14-B13)+IF(B15&lt;T.Nachtbis,MIN(T.Nachtbis-B15,B16-B15)+IF(B17&lt;T.Nachtbis,MIN(T.Nachtbis-B17,B18-B17)+IF(B19&lt;T.Nachtbis,MIN(T.Nachtbis-B19,B20-B19)+IF(B21&lt;T.Nachtbis,MIN(T.Nachtbis-B21,B22-B21),0),0),0),0),0))*1440,0)/1440,0)</f>
        <v>0</v>
      </c>
      <c r="C75" s="216">
        <f t="shared" ca="1" si="22"/>
        <v>0</v>
      </c>
      <c r="D75" s="216">
        <f t="shared" ca="1" si="22"/>
        <v>0</v>
      </c>
      <c r="E75" s="216">
        <f t="shared" ca="1" si="22"/>
        <v>0</v>
      </c>
      <c r="F75" s="216">
        <f t="shared" ca="1" si="22"/>
        <v>0</v>
      </c>
      <c r="G75" s="216">
        <f t="shared" ca="1" si="22"/>
        <v>0</v>
      </c>
      <c r="H75" s="216">
        <f t="shared" ca="1" si="22"/>
        <v>0</v>
      </c>
      <c r="I75" s="216">
        <f t="shared" ca="1" si="22"/>
        <v>0</v>
      </c>
      <c r="J75" s="216">
        <f t="shared" ca="1" si="22"/>
        <v>0</v>
      </c>
      <c r="K75" s="216">
        <f t="shared" ca="1" si="22"/>
        <v>0</v>
      </c>
      <c r="L75" s="216">
        <f t="shared" ca="1" si="22"/>
        <v>0</v>
      </c>
      <c r="M75" s="216">
        <f t="shared" ca="1" si="22"/>
        <v>0</v>
      </c>
      <c r="N75" s="216">
        <f t="shared" ca="1" si="22"/>
        <v>0</v>
      </c>
      <c r="O75" s="216">
        <f t="shared" ca="1" si="22"/>
        <v>0</v>
      </c>
      <c r="P75" s="216">
        <f t="shared" ca="1" si="22"/>
        <v>0</v>
      </c>
      <c r="Q75" s="216">
        <f t="shared" ca="1" si="22"/>
        <v>0</v>
      </c>
      <c r="R75" s="216">
        <f t="shared" ca="1" si="22"/>
        <v>0</v>
      </c>
      <c r="S75" s="216">
        <f t="shared" ca="1" si="22"/>
        <v>0</v>
      </c>
      <c r="T75" s="216">
        <f t="shared" ca="1" si="22"/>
        <v>0</v>
      </c>
      <c r="U75" s="216">
        <f t="shared" ca="1" si="22"/>
        <v>0</v>
      </c>
      <c r="V75" s="216">
        <f t="shared" ca="1" si="22"/>
        <v>0</v>
      </c>
      <c r="W75" s="216">
        <f t="shared" ca="1" si="22"/>
        <v>0</v>
      </c>
      <c r="X75" s="216">
        <f t="shared" ca="1" si="22"/>
        <v>0</v>
      </c>
      <c r="Y75" s="216">
        <f t="shared" ca="1" si="22"/>
        <v>0</v>
      </c>
      <c r="Z75" s="216">
        <f t="shared" ca="1" si="22"/>
        <v>0</v>
      </c>
      <c r="AA75" s="216">
        <f t="shared" ca="1" si="22"/>
        <v>0</v>
      </c>
      <c r="AB75" s="216">
        <f t="shared" ca="1" si="22"/>
        <v>0</v>
      </c>
      <c r="AC75" s="216">
        <f t="shared" ca="1" si="22"/>
        <v>0</v>
      </c>
      <c r="AD75" s="216">
        <f t="shared" ca="1" si="22"/>
        <v>0</v>
      </c>
      <c r="AE75" s="216">
        <f t="shared" ca="1" si="22"/>
        <v>0</v>
      </c>
      <c r="AF75" s="217" t="str">
        <f>A75</f>
        <v>Total NS hours today</v>
      </c>
      <c r="AG75" s="188"/>
      <c r="AH75" s="213"/>
      <c r="AI75" s="214"/>
      <c r="AJ75" s="209"/>
      <c r="AK75" s="209"/>
      <c r="AL75" s="209"/>
      <c r="AM75" s="208"/>
      <c r="AN75" s="209"/>
      <c r="AO75" s="209"/>
      <c r="AP75" s="119"/>
    </row>
    <row r="76" spans="1:42" s="38" customFormat="1" ht="16.5" hidden="1" customHeight="1" outlineLevel="1" x14ac:dyDescent="0.2">
      <c r="A76" s="215" t="s">
        <v>253</v>
      </c>
      <c r="B76" s="225">
        <f t="shared" ref="B76:AE76" ca="1" si="23">B73-B75</f>
        <v>0</v>
      </c>
      <c r="C76" s="225">
        <f t="shared" ca="1" si="23"/>
        <v>0</v>
      </c>
      <c r="D76" s="225">
        <f t="shared" ca="1" si="23"/>
        <v>0</v>
      </c>
      <c r="E76" s="225">
        <f t="shared" ca="1" si="23"/>
        <v>0</v>
      </c>
      <c r="F76" s="225">
        <f t="shared" ca="1" si="23"/>
        <v>0</v>
      </c>
      <c r="G76" s="225">
        <f t="shared" ca="1" si="23"/>
        <v>0</v>
      </c>
      <c r="H76" s="225">
        <f t="shared" ca="1" si="23"/>
        <v>0</v>
      </c>
      <c r="I76" s="225">
        <f t="shared" ca="1" si="23"/>
        <v>0</v>
      </c>
      <c r="J76" s="225">
        <f t="shared" ca="1" si="23"/>
        <v>0</v>
      </c>
      <c r="K76" s="225">
        <f t="shared" ca="1" si="23"/>
        <v>0</v>
      </c>
      <c r="L76" s="225">
        <f t="shared" ca="1" si="23"/>
        <v>0</v>
      </c>
      <c r="M76" s="225">
        <f t="shared" ca="1" si="23"/>
        <v>0</v>
      </c>
      <c r="N76" s="225">
        <f t="shared" ca="1" si="23"/>
        <v>0</v>
      </c>
      <c r="O76" s="225">
        <f t="shared" ca="1" si="23"/>
        <v>0</v>
      </c>
      <c r="P76" s="225">
        <f t="shared" ca="1" si="23"/>
        <v>0</v>
      </c>
      <c r="Q76" s="225">
        <f t="shared" ca="1" si="23"/>
        <v>0</v>
      </c>
      <c r="R76" s="225">
        <f t="shared" ca="1" si="23"/>
        <v>0</v>
      </c>
      <c r="S76" s="225">
        <f t="shared" ca="1" si="23"/>
        <v>0</v>
      </c>
      <c r="T76" s="225">
        <f t="shared" ca="1" si="23"/>
        <v>0</v>
      </c>
      <c r="U76" s="225">
        <f t="shared" ca="1" si="23"/>
        <v>0</v>
      </c>
      <c r="V76" s="225">
        <f t="shared" ca="1" si="23"/>
        <v>0</v>
      </c>
      <c r="W76" s="225">
        <f t="shared" ca="1" si="23"/>
        <v>0</v>
      </c>
      <c r="X76" s="225">
        <f t="shared" ca="1" si="23"/>
        <v>0</v>
      </c>
      <c r="Y76" s="225">
        <f t="shared" ca="1" si="23"/>
        <v>0</v>
      </c>
      <c r="Z76" s="225">
        <f t="shared" ca="1" si="23"/>
        <v>0</v>
      </c>
      <c r="AA76" s="225">
        <f t="shared" ca="1" si="23"/>
        <v>0</v>
      </c>
      <c r="AB76" s="225">
        <f t="shared" ca="1" si="23"/>
        <v>0</v>
      </c>
      <c r="AC76" s="225">
        <f t="shared" ca="1" si="23"/>
        <v>0</v>
      </c>
      <c r="AD76" s="225">
        <f t="shared" ca="1" si="23"/>
        <v>0</v>
      </c>
      <c r="AE76" s="225">
        <f t="shared" ca="1" si="23"/>
        <v>0</v>
      </c>
      <c r="AF76" s="217" t="str">
        <f>A76</f>
        <v>Total NS hours yesterday</v>
      </c>
      <c r="AG76" s="188"/>
      <c r="AH76" s="213"/>
      <c r="AI76" s="214"/>
      <c r="AJ76" s="209"/>
      <c r="AK76" s="209"/>
      <c r="AL76" s="230">
        <f ca="1">IF(EB.Anwendung&lt;&gt;"",IF(MONTH(Monat.Tag1)=12,0,IF(MONTH(Monat.Tag1)=1,February!Monat.NDgesternTag1,IF(MONTH(Monat.Tag1)=2,March!Monat.NDgesternTag1,IF(MONTH(Monat.Tag1)=3,April!Monat.NDgesternTag1,IF(MONTH(Monat.Tag1)=4,May!Monat.NDgesternTag1,IF(MONTH(Monat.Tag1)=5,June!Monat.NDgesternTag1,IF(MONTH(Monat.Tag1)=6,July!Monat.NDgesternTag1,IF(MONTH(Monat.Tag1)=7,August!Monat.NDgesternTag1,IF(MONTH(Monat.Tag1)=8,September!Monat.NDgesternTag1,IF(MONTH(Monat.Tag1)=9,October!Monat.NDgesternTag1,IF(MONTH(Monat.Tag1)=10,November!Monat.NDgesternTag1,IF(MONTH(Monat.Tag1)=11,December!Monat.NDgesternTag1,"")))))))))))),"")</f>
        <v>0</v>
      </c>
      <c r="AM76" s="208"/>
      <c r="AN76" s="209"/>
      <c r="AO76" s="209"/>
      <c r="AP76" s="119"/>
    </row>
    <row r="77" spans="1:42" s="38" customFormat="1" ht="16.5" hidden="1" customHeight="1" outlineLevel="1" x14ac:dyDescent="0.2">
      <c r="A77" s="215" t="s">
        <v>254</v>
      </c>
      <c r="B77" s="216">
        <f t="shared" ref="B77:AD77" ca="1" si="24">B75+IF(B$10=EOMONTH(B$10,0),$AL76,C76)</f>
        <v>0</v>
      </c>
      <c r="C77" s="216">
        <f t="shared" ca="1" si="24"/>
        <v>0</v>
      </c>
      <c r="D77" s="216">
        <f t="shared" ca="1" si="24"/>
        <v>0</v>
      </c>
      <c r="E77" s="216">
        <f t="shared" ca="1" si="24"/>
        <v>0</v>
      </c>
      <c r="F77" s="216">
        <f t="shared" ca="1" si="24"/>
        <v>0</v>
      </c>
      <c r="G77" s="216">
        <f t="shared" ca="1" si="24"/>
        <v>0</v>
      </c>
      <c r="H77" s="216">
        <f t="shared" ca="1" si="24"/>
        <v>0</v>
      </c>
      <c r="I77" s="216">
        <f t="shared" ca="1" si="24"/>
        <v>0</v>
      </c>
      <c r="J77" s="216">
        <f t="shared" ca="1" si="24"/>
        <v>0</v>
      </c>
      <c r="K77" s="216">
        <f t="shared" ca="1" si="24"/>
        <v>0</v>
      </c>
      <c r="L77" s="216">
        <f t="shared" ca="1" si="24"/>
        <v>0</v>
      </c>
      <c r="M77" s="216">
        <f t="shared" ca="1" si="24"/>
        <v>0</v>
      </c>
      <c r="N77" s="216">
        <f t="shared" ca="1" si="24"/>
        <v>0</v>
      </c>
      <c r="O77" s="216">
        <f t="shared" ca="1" si="24"/>
        <v>0</v>
      </c>
      <c r="P77" s="216">
        <f t="shared" ca="1" si="24"/>
        <v>0</v>
      </c>
      <c r="Q77" s="216">
        <f t="shared" ca="1" si="24"/>
        <v>0</v>
      </c>
      <c r="R77" s="216">
        <f t="shared" ca="1" si="24"/>
        <v>0</v>
      </c>
      <c r="S77" s="216">
        <f t="shared" ca="1" si="24"/>
        <v>0</v>
      </c>
      <c r="T77" s="216">
        <f t="shared" ca="1" si="24"/>
        <v>0</v>
      </c>
      <c r="U77" s="216">
        <f t="shared" ca="1" si="24"/>
        <v>0</v>
      </c>
      <c r="V77" s="216">
        <f t="shared" ca="1" si="24"/>
        <v>0</v>
      </c>
      <c r="W77" s="216">
        <f t="shared" ca="1" si="24"/>
        <v>0</v>
      </c>
      <c r="X77" s="216">
        <f t="shared" ca="1" si="24"/>
        <v>0</v>
      </c>
      <c r="Y77" s="216">
        <f t="shared" ca="1" si="24"/>
        <v>0</v>
      </c>
      <c r="Z77" s="216">
        <f t="shared" ca="1" si="24"/>
        <v>0</v>
      </c>
      <c r="AA77" s="216">
        <f t="shared" ca="1" si="24"/>
        <v>0</v>
      </c>
      <c r="AB77" s="216">
        <f t="shared" ca="1" si="24"/>
        <v>0</v>
      </c>
      <c r="AC77" s="216">
        <f t="shared" ca="1" si="24"/>
        <v>0</v>
      </c>
      <c r="AD77" s="216">
        <f t="shared" ca="1" si="24"/>
        <v>0</v>
      </c>
      <c r="AE77" s="216">
        <f ca="1">AE75+IF(AE$10=EOMONTH(AE$10,0),$AL76,#REF!)</f>
        <v>0</v>
      </c>
      <c r="AF77" s="217" t="str">
        <f>A77</f>
        <v>Total NS hours</v>
      </c>
      <c r="AG77" s="218"/>
      <c r="AH77" s="219">
        <f ca="1">SUM(B77:AE77)</f>
        <v>0</v>
      </c>
      <c r="AI77" s="214"/>
      <c r="AJ77" s="209"/>
      <c r="AK77" s="209"/>
      <c r="AL77" s="209"/>
      <c r="AM77" s="208"/>
      <c r="AN77" s="209"/>
      <c r="AO77" s="209"/>
      <c r="AP77" s="119"/>
    </row>
    <row r="78" spans="1:42" s="38" customFormat="1" ht="3.75" hidden="1" customHeight="1" collapsed="1" x14ac:dyDescent="0.2">
      <c r="A78" s="220"/>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05"/>
      <c r="AG78" s="233"/>
      <c r="AH78" s="222"/>
      <c r="AI78" s="214"/>
      <c r="AJ78" s="209"/>
      <c r="AK78" s="209"/>
      <c r="AL78" s="209"/>
      <c r="AM78" s="208"/>
      <c r="AN78" s="209"/>
      <c r="AO78" s="209"/>
      <c r="AP78" s="119"/>
    </row>
    <row r="79" spans="1:42" s="38" customFormat="1" ht="15" customHeight="1" outlineLevel="1" x14ac:dyDescent="0.2">
      <c r="A79" s="212" t="s">
        <v>200</v>
      </c>
      <c r="B79" s="280">
        <f t="shared" ref="B79:AE79" ca="1" si="25">IF(AND(T.50_Vetsuisse,B70&gt;24),ROUND(B73*T.50_VetsuisseZZSND*1440,0)/1440,
IF(AND(T.ServiceCenterIrchel,B69&gt;0,B77&gt;=ROUND(1/24*8*1440,0)/1440),ROUND(B77*T.ServiceCenterIrchelZZSND*1440,0)/1440,))</f>
        <v>0</v>
      </c>
      <c r="C79" s="280">
        <f t="shared" ca="1" si="25"/>
        <v>0</v>
      </c>
      <c r="D79" s="280">
        <f t="shared" ca="1" si="25"/>
        <v>0</v>
      </c>
      <c r="E79" s="280">
        <f t="shared" ca="1" si="25"/>
        <v>0</v>
      </c>
      <c r="F79" s="280">
        <f t="shared" ca="1" si="25"/>
        <v>0</v>
      </c>
      <c r="G79" s="280">
        <f t="shared" ca="1" si="25"/>
        <v>0</v>
      </c>
      <c r="H79" s="280">
        <f t="shared" ca="1" si="25"/>
        <v>0</v>
      </c>
      <c r="I79" s="280">
        <f t="shared" ca="1" si="25"/>
        <v>0</v>
      </c>
      <c r="J79" s="280">
        <f t="shared" ca="1" si="25"/>
        <v>0</v>
      </c>
      <c r="K79" s="280">
        <f t="shared" ca="1" si="25"/>
        <v>0</v>
      </c>
      <c r="L79" s="280">
        <f t="shared" ca="1" si="25"/>
        <v>0</v>
      </c>
      <c r="M79" s="280">
        <f t="shared" ca="1" si="25"/>
        <v>0</v>
      </c>
      <c r="N79" s="280">
        <f t="shared" ca="1" si="25"/>
        <v>0</v>
      </c>
      <c r="O79" s="280">
        <f t="shared" ca="1" si="25"/>
        <v>0</v>
      </c>
      <c r="P79" s="280">
        <f t="shared" ca="1" si="25"/>
        <v>0</v>
      </c>
      <c r="Q79" s="280">
        <f t="shared" ca="1" si="25"/>
        <v>0</v>
      </c>
      <c r="R79" s="280">
        <f t="shared" ca="1" si="25"/>
        <v>0</v>
      </c>
      <c r="S79" s="280">
        <f t="shared" ca="1" si="25"/>
        <v>0</v>
      </c>
      <c r="T79" s="280">
        <f t="shared" ca="1" si="25"/>
        <v>0</v>
      </c>
      <c r="U79" s="280">
        <f t="shared" ca="1" si="25"/>
        <v>0</v>
      </c>
      <c r="V79" s="280">
        <f t="shared" ca="1" si="25"/>
        <v>0</v>
      </c>
      <c r="W79" s="280">
        <f t="shared" ca="1" si="25"/>
        <v>0</v>
      </c>
      <c r="X79" s="280">
        <f t="shared" ca="1" si="25"/>
        <v>0</v>
      </c>
      <c r="Y79" s="280">
        <f t="shared" ca="1" si="25"/>
        <v>0</v>
      </c>
      <c r="Z79" s="280">
        <f t="shared" ca="1" si="25"/>
        <v>0</v>
      </c>
      <c r="AA79" s="280">
        <f t="shared" ca="1" si="25"/>
        <v>0</v>
      </c>
      <c r="AB79" s="280">
        <f t="shared" ca="1" si="25"/>
        <v>0</v>
      </c>
      <c r="AC79" s="280">
        <f t="shared" ca="1" si="25"/>
        <v>0</v>
      </c>
      <c r="AD79" s="280">
        <f t="shared" ca="1" si="25"/>
        <v>0</v>
      </c>
      <c r="AE79" s="280">
        <f t="shared" ca="1" si="25"/>
        <v>0</v>
      </c>
      <c r="AF79" s="205" t="str">
        <f>A79</f>
        <v>Time supplement night shift</v>
      </c>
      <c r="AG79" s="274"/>
      <c r="AH79" s="238">
        <f ca="1">SUM(B79:AE79)</f>
        <v>0</v>
      </c>
      <c r="AI79" s="261"/>
      <c r="AJ79" s="224"/>
      <c r="AK79" s="245">
        <f ca="1">IF(EB.Anwendung&lt;&gt;"",IF(MONTH(Monat.Tag1)=1,EB.ZZNd,IF(MONTH(Monat.Tag1)=2,January!Monat.ZZNdUe,IF(MONTH(Monat.Tag1)=3,February!Monat.ZZNdUe,IF(MONTH(Monat.Tag1)=4,March!Monat.ZZNdUe,IF(MONTH(Monat.Tag1)=5,April!Monat.ZZNdUe,IF(MONTH(Monat.Tag1)=6,May!Monat.ZZNdUe,IF(MONTH(Monat.Tag1)=7,June!Monat.ZZNdUe,IF(MONTH(Monat.Tag1)=8,July!Monat.ZZNdUe,IF(MONTH(Monat.Tag1)=9,August!Monat.ZZNdUe,IF(MONTH(Monat.Tag1)=10,September!Monat.ZZNdUe,IF(MONTH(Monat.Tag1)=11,October!Monat.ZZNdUe,IF(MONTH(Monat.Tag1)=12,November!Monat.ZZNdUe,"")))))))))))),"")</f>
        <v>0</v>
      </c>
      <c r="AL79" s="209"/>
      <c r="AM79" s="246">
        <f ca="1">AH79+AK79-AH71</f>
        <v>0</v>
      </c>
      <c r="AN79" s="246">
        <f ca="1">OFFSET(Jahr.ZZSNDSaldo,-13+MONTH(Monat.Tag1),0,1,1)</f>
        <v>0</v>
      </c>
      <c r="AO79" s="246">
        <f ca="1">Jahr.ZZSNDSaldo</f>
        <v>0</v>
      </c>
      <c r="AP79" s="119"/>
    </row>
    <row r="80" spans="1:42" s="38" customFormat="1" ht="15" customHeight="1" outlineLevel="1" x14ac:dyDescent="0.2">
      <c r="A80" s="212" t="s">
        <v>224</v>
      </c>
      <c r="B80" s="280" t="str">
        <f t="shared" ref="B80:AE80" si="26">IF(T.50_Vetsuisse,IF(OR(B$12=0,B$11=0,WEEKDAY(B$10,2)&gt;5),0,ROUND((MAX(0,T.Abendbis-MAX(B13,T.Abendab))-MAX(0,T.Abendbis-MAX(T.Abendab,B14))+(B13&gt;B14)*(1+T.Abendab-T.Abendbis)+MAX(0,T.Abendbis-MAX(B15,T.Abendab))-MAX(0,T.Abendbis-MAX(T.Abendab,B16))+(B15&gt;B16)*(1+T.Abendab-T.Abendbis)+MAX(0,T.Abendbis-MAX(B17,T.Abendab))-MAX(0,T.Abendbis-MAX(T.Abendab,B18))+(B17&gt;B18)*(1+T.Abendab-T.Abendbis)+MAX(0,T.Abendbis-MAX(B19,T.Abendab))-MAX(0,T.Abendbis-MAX(T.Abendab,B20))+(B19&gt;B20)*(1+T.Abendab-T.Abendbis)+MAX(0,T.Abendbis-MAX(B21,T.Abendab))-MAX(0,T.Abendbis-MAX(T.Abendab,B22))+(B21&gt;B22)*(1+T.Abendab-T.Abendbis))*1440,0)/1440),"")</f>
        <v/>
      </c>
      <c r="C80" s="280" t="str">
        <f t="shared" si="26"/>
        <v/>
      </c>
      <c r="D80" s="280" t="str">
        <f t="shared" si="26"/>
        <v/>
      </c>
      <c r="E80" s="280" t="str">
        <f t="shared" si="26"/>
        <v/>
      </c>
      <c r="F80" s="280" t="str">
        <f t="shared" si="26"/>
        <v/>
      </c>
      <c r="G80" s="280" t="str">
        <f t="shared" si="26"/>
        <v/>
      </c>
      <c r="H80" s="280" t="str">
        <f t="shared" si="26"/>
        <v/>
      </c>
      <c r="I80" s="280" t="str">
        <f t="shared" si="26"/>
        <v/>
      </c>
      <c r="J80" s="280" t="str">
        <f t="shared" si="26"/>
        <v/>
      </c>
      <c r="K80" s="280" t="str">
        <f t="shared" si="26"/>
        <v/>
      </c>
      <c r="L80" s="280" t="str">
        <f t="shared" si="26"/>
        <v/>
      </c>
      <c r="M80" s="280" t="str">
        <f t="shared" si="26"/>
        <v/>
      </c>
      <c r="N80" s="280" t="str">
        <f t="shared" si="26"/>
        <v/>
      </c>
      <c r="O80" s="280" t="str">
        <f t="shared" si="26"/>
        <v/>
      </c>
      <c r="P80" s="280" t="str">
        <f t="shared" si="26"/>
        <v/>
      </c>
      <c r="Q80" s="280" t="str">
        <f t="shared" si="26"/>
        <v/>
      </c>
      <c r="R80" s="280" t="str">
        <f t="shared" si="26"/>
        <v/>
      </c>
      <c r="S80" s="280" t="str">
        <f t="shared" si="26"/>
        <v/>
      </c>
      <c r="T80" s="280" t="str">
        <f t="shared" si="26"/>
        <v/>
      </c>
      <c r="U80" s="280" t="str">
        <f t="shared" si="26"/>
        <v/>
      </c>
      <c r="V80" s="280" t="str">
        <f t="shared" si="26"/>
        <v/>
      </c>
      <c r="W80" s="280" t="str">
        <f t="shared" si="26"/>
        <v/>
      </c>
      <c r="X80" s="280" t="str">
        <f t="shared" si="26"/>
        <v/>
      </c>
      <c r="Y80" s="280" t="str">
        <f t="shared" si="26"/>
        <v/>
      </c>
      <c r="Z80" s="280" t="str">
        <f t="shared" si="26"/>
        <v/>
      </c>
      <c r="AA80" s="280" t="str">
        <f t="shared" si="26"/>
        <v/>
      </c>
      <c r="AB80" s="280" t="str">
        <f t="shared" si="26"/>
        <v/>
      </c>
      <c r="AC80" s="280" t="str">
        <f t="shared" si="26"/>
        <v/>
      </c>
      <c r="AD80" s="280" t="str">
        <f t="shared" si="26"/>
        <v/>
      </c>
      <c r="AE80" s="280" t="str">
        <f t="shared" si="26"/>
        <v/>
      </c>
      <c r="AF80" s="205" t="str">
        <f>A80</f>
        <v>Evening work</v>
      </c>
      <c r="AG80" s="274"/>
      <c r="AH80" s="238">
        <f>SUM(B80:AE80)</f>
        <v>0</v>
      </c>
      <c r="AI80" s="261"/>
      <c r="AJ80" s="224"/>
      <c r="AK80" s="245">
        <f ca="1">IF(EB.Anwendung&lt;&gt;"",IF(MONTH(Monat.Tag1)=1,0,IF(MONTH(Monat.Tag1)=2,January!Monat.AAUeVM,IF(MONTH(Monat.Tag1)=3,February!Monat.AAUeVM,IF(MONTH(Monat.Tag1)=4,March!Monat.AAUeVM,IF(MONTH(Monat.Tag1)=5,April!Monat.AAUeVM,IF(MONTH(Monat.Tag1)=6,May!Monat.AAUeVM,IF(MONTH(Monat.Tag1)=7,June!Monat.AAUeVM,IF(MONTH(Monat.Tag1)=8,July!Monat.AAUeVM,IF(MONTH(Monat.Tag1)=9,August!Monat.AAUeVM,IF(MONTH(Monat.Tag1)=10,September!Monat.AAUeVM,IF(MONTH(Monat.Tag1)=11,October!Monat.AAUeVM,IF(MONTH(Monat.Tag1)=12,November!Monat.AAUeVM,"")))))))))))),"")</f>
        <v>0</v>
      </c>
      <c r="AL80" s="209"/>
      <c r="AM80" s="246">
        <f ca="1">AH80+AK80</f>
        <v>0</v>
      </c>
      <c r="AN80" s="208"/>
      <c r="AO80" s="208"/>
      <c r="AP80" s="119"/>
    </row>
    <row r="81" spans="1:42" s="38" customFormat="1" ht="15" customHeight="1" outlineLevel="1" x14ac:dyDescent="0.2">
      <c r="A81" s="212" t="s">
        <v>89</v>
      </c>
      <c r="B81" s="280">
        <f t="shared" ref="B81:AE81" ca="1" si="27">IF(EB.Wochenarbeitszeit=50/24,"",IF(B$12=0,0,IF(OR(WEEKDAY(B$10,2)&gt;5,B$11=0),IF(NOT(B$34=INDEX(T.Pikett.Bereich,1)),1,0),IF(WEEKDAY(B$10,2)&lt;6,IF(AND(OR(B$34=INDEX(T.Pikett.Bereich,2),B$34=INDEX(T.Pikett.Bereich,3)),B$11=1),8/24,0))+IF(WEEKDAY(B$10,2)&lt;6,IF(AND(OR(B$34=INDEX(T.Pikett.Bereich,2),B$34=INDEX(T.Pikett.Bereich,3)),B$11=6/8.4),10/24,0))
+IF(WEEKDAY(B$10,2)&lt;6,IF(AND(OR(B$34=INDEX(T.Pikett.Bereich,2),B$34=INDEX(T.Pikett.Bereich,3)),B$11=0.5),0.5,0))
+IF(AND(B$34=INDEX(T.Pikett.Bereich,4),B$11=6/8.4),0.75,0)+IF(AND(B$34=INDEX(T.Pikett.Bereich,4),B$11=1),16/24,0)
+IF(AND(B$34=INDEX(T.Pikett.Bereich,4),B$11=0.5),20/24,0))))</f>
        <v>0</v>
      </c>
      <c r="C81" s="280">
        <f t="shared" ca="1" si="27"/>
        <v>0</v>
      </c>
      <c r="D81" s="280">
        <f t="shared" ca="1" si="27"/>
        <v>0</v>
      </c>
      <c r="E81" s="280">
        <f t="shared" ca="1" si="27"/>
        <v>0</v>
      </c>
      <c r="F81" s="280">
        <f t="shared" ca="1" si="27"/>
        <v>0</v>
      </c>
      <c r="G81" s="280">
        <f t="shared" ca="1" si="27"/>
        <v>0</v>
      </c>
      <c r="H81" s="280">
        <f t="shared" ca="1" si="27"/>
        <v>0</v>
      </c>
      <c r="I81" s="280">
        <f t="shared" ca="1" si="27"/>
        <v>0</v>
      </c>
      <c r="J81" s="280">
        <f t="shared" ca="1" si="27"/>
        <v>0</v>
      </c>
      <c r="K81" s="280">
        <f t="shared" ca="1" si="27"/>
        <v>0</v>
      </c>
      <c r="L81" s="280">
        <f t="shared" ca="1" si="27"/>
        <v>0</v>
      </c>
      <c r="M81" s="280">
        <f t="shared" ca="1" si="27"/>
        <v>0</v>
      </c>
      <c r="N81" s="280">
        <f t="shared" ca="1" si="27"/>
        <v>0</v>
      </c>
      <c r="O81" s="280">
        <f t="shared" ca="1" si="27"/>
        <v>0</v>
      </c>
      <c r="P81" s="280">
        <f t="shared" ca="1" si="27"/>
        <v>0</v>
      </c>
      <c r="Q81" s="280">
        <f t="shared" ca="1" si="27"/>
        <v>0</v>
      </c>
      <c r="R81" s="280">
        <f t="shared" ca="1" si="27"/>
        <v>0</v>
      </c>
      <c r="S81" s="280">
        <f t="shared" ca="1" si="27"/>
        <v>0</v>
      </c>
      <c r="T81" s="280">
        <f t="shared" ca="1" si="27"/>
        <v>0</v>
      </c>
      <c r="U81" s="280">
        <f t="shared" ca="1" si="27"/>
        <v>0</v>
      </c>
      <c r="V81" s="280">
        <f t="shared" ca="1" si="27"/>
        <v>0</v>
      </c>
      <c r="W81" s="280">
        <f t="shared" ca="1" si="27"/>
        <v>0</v>
      </c>
      <c r="X81" s="280">
        <f t="shared" ca="1" si="27"/>
        <v>0</v>
      </c>
      <c r="Y81" s="280">
        <f t="shared" ca="1" si="27"/>
        <v>0</v>
      </c>
      <c r="Z81" s="280">
        <f t="shared" ca="1" si="27"/>
        <v>0</v>
      </c>
      <c r="AA81" s="280">
        <f t="shared" ca="1" si="27"/>
        <v>0</v>
      </c>
      <c r="AB81" s="280">
        <f t="shared" ca="1" si="27"/>
        <v>0</v>
      </c>
      <c r="AC81" s="280">
        <f t="shared" ca="1" si="27"/>
        <v>0</v>
      </c>
      <c r="AD81" s="280">
        <f t="shared" ca="1" si="27"/>
        <v>0</v>
      </c>
      <c r="AE81" s="280">
        <f t="shared" ca="1" si="27"/>
        <v>0</v>
      </c>
      <c r="AF81" s="205" t="str">
        <f>A81</f>
        <v>On-call duty</v>
      </c>
      <c r="AG81" s="274"/>
      <c r="AH81" s="238">
        <f ca="1">SUM(B81:AE81)</f>
        <v>0</v>
      </c>
      <c r="AI81" s="261"/>
      <c r="AJ81" s="224"/>
      <c r="AK81" s="245">
        <f ca="1">IF(EB.Anwendung&lt;&gt;"",IF(MONTH(Monat.Tag1)=1,0,IF(MONTH(Monat.Tag1)=2,January!Monat.BDUeVM,IF(MONTH(Monat.Tag1)=3,February!Monat.BDUeVM,IF(MONTH(Monat.Tag1)=4,March!Monat.BDUeVM,IF(MONTH(Monat.Tag1)=5,April!Monat.BDUeVM,IF(MONTH(Monat.Tag1)=6,May!Monat.BDUeVM,IF(MONTH(Monat.Tag1)=7,June!Monat.BDUeVM,IF(MONTH(Monat.Tag1)=8,July!Monat.BDUeVM,IF(MONTH(Monat.Tag1)=9,August!Monat.BDUeVM,IF(MONTH(Monat.Tag1)=10,September!Monat.BDUeVM,IF(MONTH(Monat.Tag1)=11,October!Monat.BDUeVM,IF(MONTH(Monat.Tag1)=12,November!Monat.BDUeVM,"")))))))))))),"")</f>
        <v>0</v>
      </c>
      <c r="AL81" s="209"/>
      <c r="AM81" s="246">
        <f ca="1">AH81+AK81</f>
        <v>0</v>
      </c>
      <c r="AN81" s="208"/>
      <c r="AO81" s="208"/>
      <c r="AP81" s="119"/>
    </row>
    <row r="82" spans="1:42" s="38" customFormat="1" ht="15" customHeight="1" outlineLevel="1" x14ac:dyDescent="0.2">
      <c r="A82" s="212" t="s">
        <v>90</v>
      </c>
      <c r="B82" s="280">
        <f t="shared" ref="B82:AE82" ca="1" si="28">IF(B$12=0,"",IF(OR(WEEKDAY(B$10,2)&gt;5,B$11=0),
IF(T.50_NoVetsuisse,B45,
IF(T.50_Vetsuisse,IF(B23-B73=0,"",B23-B73),
IF(T.ServiceCenterIrchel,B23,
B60))),))</f>
        <v>0</v>
      </c>
      <c r="C82" s="280">
        <f t="shared" ca="1" si="28"/>
        <v>0</v>
      </c>
      <c r="D82" s="281">
        <f t="shared" ca="1" si="28"/>
        <v>0</v>
      </c>
      <c r="E82" s="280" t="str">
        <f t="shared" ca="1" si="28"/>
        <v/>
      </c>
      <c r="F82" s="281" t="str">
        <f t="shared" ca="1" si="28"/>
        <v/>
      </c>
      <c r="G82" s="281">
        <f t="shared" ca="1" si="28"/>
        <v>0</v>
      </c>
      <c r="H82" s="281">
        <f t="shared" ca="1" si="28"/>
        <v>0</v>
      </c>
      <c r="I82" s="281">
        <f t="shared" ca="1" si="28"/>
        <v>0</v>
      </c>
      <c r="J82" s="280">
        <f t="shared" ca="1" si="28"/>
        <v>0</v>
      </c>
      <c r="K82" s="281" t="str">
        <f t="shared" ca="1" si="28"/>
        <v/>
      </c>
      <c r="L82" s="280" t="str">
        <f t="shared" ca="1" si="28"/>
        <v/>
      </c>
      <c r="M82" s="281" t="str">
        <f t="shared" ca="1" si="28"/>
        <v/>
      </c>
      <c r="N82" s="281" t="str">
        <f t="shared" ca="1" si="28"/>
        <v/>
      </c>
      <c r="O82" s="281">
        <f t="shared" ca="1" si="28"/>
        <v>0</v>
      </c>
      <c r="P82" s="281">
        <f t="shared" ca="1" si="28"/>
        <v>0</v>
      </c>
      <c r="Q82" s="280">
        <f t="shared" ca="1" si="28"/>
        <v>0</v>
      </c>
      <c r="R82" s="281">
        <f t="shared" ca="1" si="28"/>
        <v>0</v>
      </c>
      <c r="S82" s="280" t="str">
        <f t="shared" ca="1" si="28"/>
        <v/>
      </c>
      <c r="T82" s="280" t="str">
        <f t="shared" ca="1" si="28"/>
        <v/>
      </c>
      <c r="U82" s="281">
        <f t="shared" ca="1" si="28"/>
        <v>0</v>
      </c>
      <c r="V82" s="281">
        <f t="shared" ca="1" si="28"/>
        <v>0</v>
      </c>
      <c r="W82" s="281">
        <f t="shared" ca="1" si="28"/>
        <v>0</v>
      </c>
      <c r="X82" s="280">
        <f t="shared" ca="1" si="28"/>
        <v>0</v>
      </c>
      <c r="Y82" s="281">
        <f t="shared" ca="1" si="28"/>
        <v>0</v>
      </c>
      <c r="Z82" s="282" t="str">
        <f t="shared" ca="1" si="28"/>
        <v/>
      </c>
      <c r="AA82" s="281" t="str">
        <f t="shared" ca="1" si="28"/>
        <v/>
      </c>
      <c r="AB82" s="281">
        <f t="shared" ca="1" si="28"/>
        <v>0</v>
      </c>
      <c r="AC82" s="281">
        <f t="shared" ca="1" si="28"/>
        <v>0</v>
      </c>
      <c r="AD82" s="281">
        <f t="shared" ca="1" si="28"/>
        <v>0</v>
      </c>
      <c r="AE82" s="280">
        <f t="shared" ca="1" si="28"/>
        <v>0</v>
      </c>
      <c r="AF82" s="205" t="str">
        <f>A82</f>
        <v>Saturday/Sunday shift</v>
      </c>
      <c r="AG82" s="228"/>
      <c r="AH82" s="238">
        <f ca="1">SUM(B82:AE82)</f>
        <v>0</v>
      </c>
      <c r="AI82" s="229">
        <f ca="1">IFERROR(SUMPRODUCT((B82:AE82&gt;0)*(B82:AE82&lt;&gt;"")),0)</f>
        <v>0</v>
      </c>
      <c r="AJ82" s="224"/>
      <c r="AK82" s="245">
        <f ca="1">IF(EB.Anwendung&lt;&gt;"",IF(MONTH(Monat.Tag1)=1,0,IF(MONTH(Monat.Tag1)=2,January!Monat.SDUeVM,IF(MONTH(Monat.Tag1)=3,February!Monat.SDUeVM,IF(MONTH(Monat.Tag1)=4,March!Monat.SDUeVM,IF(MONTH(Monat.Tag1)=5,April!Monat.SDUeVM,IF(MONTH(Monat.Tag1)=6,May!Monat.SDUeVM,IF(MONTH(Monat.Tag1)=7,June!Monat.SDUeVM,IF(MONTH(Monat.Tag1)=8,July!Monat.SDUeVM,IF(MONTH(Monat.Tag1)=9,August!Monat.SDUeVM,IF(MONTH(Monat.Tag1)=10,September!Monat.SDUeVM,IF(MONTH(Monat.Tag1)=11,October!Monat.SDUeVM,IF(MONTH(Monat.Tag1)=12,November!Monat.SDUeVM,"")))))))))))),"")</f>
        <v>0</v>
      </c>
      <c r="AL82" s="209"/>
      <c r="AM82" s="246">
        <f ca="1">AH82+AK82</f>
        <v>0</v>
      </c>
      <c r="AN82" s="208"/>
      <c r="AO82" s="208"/>
      <c r="AP82" s="119"/>
    </row>
    <row r="83" spans="1:42" s="38" customFormat="1" ht="11.25" customHeight="1" outlineLevel="1" x14ac:dyDescent="0.2">
      <c r="A83" s="220"/>
      <c r="B83" s="226"/>
      <c r="C83" s="226"/>
      <c r="D83" s="226"/>
      <c r="E83" s="226"/>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05"/>
      <c r="AG83" s="228"/>
      <c r="AH83" s="224"/>
      <c r="AI83" s="278"/>
      <c r="AJ83" s="262"/>
      <c r="AK83" s="262"/>
      <c r="AL83" s="209"/>
      <c r="AM83" s="279"/>
      <c r="AN83" s="283"/>
      <c r="AO83" s="283"/>
      <c r="AP83" s="119"/>
    </row>
    <row r="84" spans="1:42" s="38" customFormat="1" ht="15" customHeight="1" x14ac:dyDescent="0.2">
      <c r="A84" s="212" t="s">
        <v>80</v>
      </c>
      <c r="B84" s="40"/>
      <c r="C84" s="40"/>
      <c r="D84" s="40"/>
      <c r="E84" s="40"/>
      <c r="F84" s="40"/>
      <c r="G84" s="40"/>
      <c r="H84" s="40"/>
      <c r="I84" s="40"/>
      <c r="J84" s="40"/>
      <c r="K84" s="40"/>
      <c r="L84" s="40"/>
      <c r="M84" s="40"/>
      <c r="N84" s="40"/>
      <c r="O84" s="40"/>
      <c r="P84" s="40"/>
      <c r="Q84" s="40"/>
      <c r="R84" s="40"/>
      <c r="S84" s="40"/>
      <c r="T84" s="40"/>
      <c r="U84" s="40"/>
      <c r="V84" s="40"/>
      <c r="W84" s="40"/>
      <c r="X84" s="40"/>
      <c r="Y84" s="40"/>
      <c r="Z84" s="47"/>
      <c r="AA84" s="40"/>
      <c r="AB84" s="40"/>
      <c r="AC84" s="40"/>
      <c r="AD84" s="40"/>
      <c r="AE84" s="40"/>
      <c r="AF84" s="205" t="str">
        <f>A84 &amp; IFERROR(IF(AND(MONTH(Monat.Tag1)=6,EB.Jahr&gt;2020),IF(SUM(Jahresabrechnung!AC15:AC20)&lt;EB.FerienBer,IF(EB.Sprache="EN"," (Balance PY "," (Saldo VJ ") &amp; " &gt; 0!)",""),""),"")</f>
        <v>Vacation</v>
      </c>
      <c r="AG84" s="218"/>
      <c r="AH84" s="238">
        <f>SUM(B84:AE84)</f>
        <v>0</v>
      </c>
      <c r="AI84" s="261"/>
      <c r="AJ84" s="245">
        <f ca="1">OFFSET(EB.MFAStd.Knoten,MONTH(Monat.Tag1),0,1,1)</f>
        <v>0</v>
      </c>
      <c r="AK84" s="245">
        <f ca="1">IF(EB.Anwendung&lt;&gt;"",IF(MONTH(Monat.Tag1)=1,EB.FerienBer,IF(MONTH(Monat.Tag1)=2,January!Monat.FerienUeVM,IF(MONTH(Monat.Tag1)=3,February!Monat.FerienUeVM,IF(MONTH(Monat.Tag1)=4,March!Monat.FerienUeVM,IF(MONTH(Monat.Tag1)=5,April!Monat.FerienUeVM,IF(MONTH(Monat.Tag1)=6,May!Monat.FerienUeVM,IF(MONTH(Monat.Tag1)=7,June!Monat.FerienUeVM,IF(MONTH(Monat.Tag1)=8,July!Monat.FerienUeVM,IF(MONTH(Monat.Tag1)=9,August!Monat.FerienUeVM,IF(MONTH(Monat.Tag1)=10,September!Monat.FerienUeVM,IF(MONTH(Monat.Tag1)=11,October!Monat.FerienUeVM,IF(MONTH(Monat.Tag1)=12,November!Monat.FerienUeVM,"")))))))))))),"")</f>
        <v>0</v>
      </c>
      <c r="AL84" s="209"/>
      <c r="AM84" s="246">
        <f ca="1">ROUND(IF(AG85="+",(AJ84+AK84-Monat.Ferien.Total+AH85),(AJ84+AK84-Monat.Ferien.Total-AH85))*1440,0)/1440</f>
        <v>0</v>
      </c>
      <c r="AN84" s="246">
        <f ca="1">SUM(Jahresabrechnung!AC12:AC13)-SUM(OFFSET(Jahresabrechnung!AC15,0,0,MONTH(Monat.Tag1),1))</f>
        <v>0</v>
      </c>
      <c r="AO84" s="246">
        <f ca="1">J.FerienUE.Total</f>
        <v>0</v>
      </c>
      <c r="AP84" s="119"/>
    </row>
    <row r="85" spans="1:42" s="38" customFormat="1" ht="15" customHeight="1" x14ac:dyDescent="0.2">
      <c r="A85" s="220"/>
      <c r="B85" s="437">
        <f t="shared" ref="B85:AE85" ca="1" si="29">IF(DAY(B$10)=1,Monat.Ferien.JS+Monat.Ferien.Total-B84,A85-B84)</f>
        <v>0</v>
      </c>
      <c r="C85" s="437">
        <f t="shared" ca="1" si="29"/>
        <v>0</v>
      </c>
      <c r="D85" s="437">
        <f t="shared" ca="1" si="29"/>
        <v>0</v>
      </c>
      <c r="E85" s="437">
        <f t="shared" ca="1" si="29"/>
        <v>0</v>
      </c>
      <c r="F85" s="437">
        <f t="shared" ca="1" si="29"/>
        <v>0</v>
      </c>
      <c r="G85" s="437">
        <f t="shared" ca="1" si="29"/>
        <v>0</v>
      </c>
      <c r="H85" s="437">
        <f t="shared" ca="1" si="29"/>
        <v>0</v>
      </c>
      <c r="I85" s="437">
        <f t="shared" ca="1" si="29"/>
        <v>0</v>
      </c>
      <c r="J85" s="437">
        <f t="shared" ca="1" si="29"/>
        <v>0</v>
      </c>
      <c r="K85" s="437">
        <f t="shared" ca="1" si="29"/>
        <v>0</v>
      </c>
      <c r="L85" s="437">
        <f t="shared" ca="1" si="29"/>
        <v>0</v>
      </c>
      <c r="M85" s="437">
        <f t="shared" ca="1" si="29"/>
        <v>0</v>
      </c>
      <c r="N85" s="437">
        <f t="shared" ca="1" si="29"/>
        <v>0</v>
      </c>
      <c r="O85" s="437">
        <f t="shared" ca="1" si="29"/>
        <v>0</v>
      </c>
      <c r="P85" s="437">
        <f t="shared" ca="1" si="29"/>
        <v>0</v>
      </c>
      <c r="Q85" s="437">
        <f t="shared" ca="1" si="29"/>
        <v>0</v>
      </c>
      <c r="R85" s="437">
        <f t="shared" ca="1" si="29"/>
        <v>0</v>
      </c>
      <c r="S85" s="437">
        <f t="shared" ca="1" si="29"/>
        <v>0</v>
      </c>
      <c r="T85" s="437">
        <f t="shared" ca="1" si="29"/>
        <v>0</v>
      </c>
      <c r="U85" s="437">
        <f t="shared" ca="1" si="29"/>
        <v>0</v>
      </c>
      <c r="V85" s="437">
        <f t="shared" ca="1" si="29"/>
        <v>0</v>
      </c>
      <c r="W85" s="437">
        <f t="shared" ca="1" si="29"/>
        <v>0</v>
      </c>
      <c r="X85" s="437">
        <f t="shared" ca="1" si="29"/>
        <v>0</v>
      </c>
      <c r="Y85" s="437">
        <f t="shared" ca="1" si="29"/>
        <v>0</v>
      </c>
      <c r="Z85" s="437">
        <f t="shared" ca="1" si="29"/>
        <v>0</v>
      </c>
      <c r="AA85" s="437">
        <f t="shared" ca="1" si="29"/>
        <v>0</v>
      </c>
      <c r="AB85" s="437">
        <f t="shared" ca="1" si="29"/>
        <v>0</v>
      </c>
      <c r="AC85" s="437">
        <f t="shared" ca="1" si="29"/>
        <v>0</v>
      </c>
      <c r="AD85" s="437">
        <f t="shared" ca="1" si="29"/>
        <v>0</v>
      </c>
      <c r="AE85" s="437">
        <f t="shared" ca="1" si="29"/>
        <v>0</v>
      </c>
      <c r="AF85" s="212" t="s">
        <v>92</v>
      </c>
      <c r="AG85" s="45" t="s">
        <v>2</v>
      </c>
      <c r="AH85" s="48"/>
      <c r="AI85" s="270"/>
      <c r="AJ85" s="209"/>
      <c r="AK85" s="209"/>
      <c r="AL85" s="209"/>
      <c r="AM85" s="208"/>
      <c r="AN85" s="284"/>
      <c r="AO85" s="284"/>
      <c r="AP85" s="119"/>
    </row>
    <row r="86" spans="1:42" s="38" customFormat="1" ht="15" customHeight="1" x14ac:dyDescent="0.2">
      <c r="A86" s="212" t="s">
        <v>81</v>
      </c>
      <c r="B86" s="40"/>
      <c r="C86" s="40"/>
      <c r="D86" s="40"/>
      <c r="E86" s="27"/>
      <c r="F86" s="40"/>
      <c r="G86" s="40"/>
      <c r="H86" s="40"/>
      <c r="I86" s="40"/>
      <c r="J86" s="27"/>
      <c r="K86" s="40"/>
      <c r="L86" s="27"/>
      <c r="M86" s="40"/>
      <c r="N86" s="40"/>
      <c r="O86" s="40"/>
      <c r="P86" s="40"/>
      <c r="Q86" s="27"/>
      <c r="R86" s="40"/>
      <c r="S86" s="27"/>
      <c r="T86" s="27"/>
      <c r="U86" s="40"/>
      <c r="V86" s="40"/>
      <c r="W86" s="40"/>
      <c r="X86" s="27"/>
      <c r="Y86" s="40"/>
      <c r="Z86" s="39"/>
      <c r="AA86" s="40"/>
      <c r="AB86" s="40"/>
      <c r="AC86" s="40"/>
      <c r="AD86" s="40"/>
      <c r="AE86" s="27"/>
      <c r="AF86" s="205" t="str">
        <f t="shared" ref="AF86:AF95" si="30">A86</f>
        <v>Consultation</v>
      </c>
      <c r="AG86" s="218"/>
      <c r="AH86" s="238">
        <f t="shared" ref="AH86:AH95" si="31">SUM(B86:AE86)</f>
        <v>0</v>
      </c>
      <c r="AI86" s="261"/>
      <c r="AJ86" s="262"/>
      <c r="AK86" s="245">
        <f ca="1">IF(EB.Anwendung&lt;&gt;"",IF(MONTH(Monat.Tag1)=1,0,IF(MONTH(Monat.Tag1)=2,January!Monat.ArztUeVM,IF(MONTH(Monat.Tag1)=3,February!Monat.ArztUeVM,IF(MONTH(Monat.Tag1)=4,March!Monat.ArztUeVM,IF(MONTH(Monat.Tag1)=5,April!Monat.ArztUeVM,IF(MONTH(Monat.Tag1)=6,May!Monat.ArztUeVM,IF(MONTH(Monat.Tag1)=7,June!Monat.ArztUeVM,IF(MONTH(Monat.Tag1)=8,July!Monat.ArztUeVM,IF(MONTH(Monat.Tag1)=9,August!Monat.ArztUeVM,IF(MONTH(Monat.Tag1)=10,September!Monat.ArztUeVM,IF(MONTH(Monat.Tag1)=11,October!Monat.ArztUeVM,IF(MONTH(Monat.Tag1)=12,November!Monat.ArztUeVM,"")))))))))))),"")</f>
        <v>0</v>
      </c>
      <c r="AL86" s="209"/>
      <c r="AM86" s="246">
        <f t="shared" ref="AM86:AM94" ca="1" si="32">AH86+AK86</f>
        <v>0</v>
      </c>
      <c r="AN86" s="208"/>
      <c r="AO86" s="208"/>
      <c r="AP86" s="119"/>
    </row>
    <row r="87" spans="1:42" s="38" customFormat="1" ht="15" customHeight="1" x14ac:dyDescent="0.2">
      <c r="A87" s="212" t="s">
        <v>82</v>
      </c>
      <c r="B87" s="40"/>
      <c r="C87" s="40"/>
      <c r="D87" s="40"/>
      <c r="E87" s="27"/>
      <c r="F87" s="40"/>
      <c r="G87" s="40"/>
      <c r="H87" s="40"/>
      <c r="I87" s="40"/>
      <c r="J87" s="27"/>
      <c r="K87" s="40"/>
      <c r="L87" s="27"/>
      <c r="M87" s="40"/>
      <c r="N87" s="40"/>
      <c r="O87" s="40"/>
      <c r="P87" s="40"/>
      <c r="Q87" s="27"/>
      <c r="R87" s="40"/>
      <c r="S87" s="27"/>
      <c r="T87" s="27"/>
      <c r="U87" s="40"/>
      <c r="V87" s="40"/>
      <c r="W87" s="40"/>
      <c r="X87" s="27"/>
      <c r="Y87" s="40"/>
      <c r="Z87" s="39"/>
      <c r="AA87" s="40"/>
      <c r="AB87" s="40"/>
      <c r="AC87" s="40"/>
      <c r="AD87" s="40"/>
      <c r="AE87" s="27"/>
      <c r="AF87" s="205" t="str">
        <f t="shared" si="30"/>
        <v>Illness</v>
      </c>
      <c r="AG87" s="218"/>
      <c r="AH87" s="238">
        <f t="shared" si="31"/>
        <v>0</v>
      </c>
      <c r="AI87" s="261"/>
      <c r="AJ87" s="262"/>
      <c r="AK87" s="245">
        <f ca="1">IF(EB.Anwendung&lt;&gt;"",IF(MONTH(Monat.Tag1)=1,0,IF(MONTH(Monat.Tag1)=2,January!Monat.KrankUeVM,IF(MONTH(Monat.Tag1)=3,February!Monat.KrankUeVM,IF(MONTH(Monat.Tag1)=4,March!Monat.KrankUeVM,IF(MONTH(Monat.Tag1)=5,April!Monat.KrankUeVM,IF(MONTH(Monat.Tag1)=6,May!Monat.KrankUeVM,IF(MONTH(Monat.Tag1)=7,June!Monat.KrankUeVM,IF(MONTH(Monat.Tag1)=8,July!Monat.KrankUeVM,IF(MONTH(Monat.Tag1)=9,August!Monat.KrankUeVM,IF(MONTH(Monat.Tag1)=10,September!Monat.KrankUeVM,IF(MONTH(Monat.Tag1)=11,October!Monat.KrankUeVM,IF(MONTH(Monat.Tag1)=12,November!Monat.KrankUeVM,"")))))))))))),"")</f>
        <v>0</v>
      </c>
      <c r="AL87" s="209"/>
      <c r="AM87" s="246">
        <f t="shared" ca="1" si="32"/>
        <v>0</v>
      </c>
      <c r="AN87" s="208"/>
      <c r="AO87" s="208"/>
      <c r="AP87" s="119"/>
    </row>
    <row r="88" spans="1:42" s="38" customFormat="1" ht="15" customHeight="1" x14ac:dyDescent="0.2">
      <c r="A88" s="212" t="s">
        <v>83</v>
      </c>
      <c r="B88" s="40"/>
      <c r="C88" s="40"/>
      <c r="D88" s="40"/>
      <c r="E88" s="27"/>
      <c r="F88" s="40"/>
      <c r="G88" s="40"/>
      <c r="H88" s="40"/>
      <c r="I88" s="40"/>
      <c r="J88" s="27"/>
      <c r="K88" s="40"/>
      <c r="L88" s="27"/>
      <c r="M88" s="40"/>
      <c r="N88" s="40"/>
      <c r="O88" s="40"/>
      <c r="P88" s="40"/>
      <c r="Q88" s="27"/>
      <c r="R88" s="40"/>
      <c r="S88" s="27"/>
      <c r="T88" s="27"/>
      <c r="U88" s="40"/>
      <c r="V88" s="40"/>
      <c r="W88" s="40"/>
      <c r="X88" s="27"/>
      <c r="Y88" s="40"/>
      <c r="Z88" s="39"/>
      <c r="AA88" s="40"/>
      <c r="AB88" s="40"/>
      <c r="AC88" s="40"/>
      <c r="AD88" s="40"/>
      <c r="AE88" s="27"/>
      <c r="AF88" s="205" t="str">
        <f t="shared" si="30"/>
        <v>Work-related accident</v>
      </c>
      <c r="AG88" s="218"/>
      <c r="AH88" s="238">
        <f t="shared" si="31"/>
        <v>0</v>
      </c>
      <c r="AI88" s="261"/>
      <c r="AJ88" s="262"/>
      <c r="AK88" s="245">
        <f ca="1">IF(EB.Anwendung&lt;&gt;"",IF(MONTH(Monat.Tag1)=1,0,IF(MONTH(Monat.Tag1)=2,January!Monat.BUUeVM,IF(MONTH(Monat.Tag1)=3,February!Monat.BUUeVM,IF(MONTH(Monat.Tag1)=4,March!Monat.BUUeVM,IF(MONTH(Monat.Tag1)=5,April!Monat.BUUeVM,IF(MONTH(Monat.Tag1)=6,May!Monat.BUUeVM,IF(MONTH(Monat.Tag1)=7,June!Monat.BUUeVM,IF(MONTH(Monat.Tag1)=8,July!Monat.BUUeVM,IF(MONTH(Monat.Tag1)=9,August!Monat.BUUeVM,IF(MONTH(Monat.Tag1)=10,September!Monat.BUUeVM,IF(MONTH(Monat.Tag1)=11,October!Monat.BUUeVM,IF(MONTH(Monat.Tag1)=12,November!Monat.BUUeVM,"")))))))))))),"")</f>
        <v>0</v>
      </c>
      <c r="AL88" s="209"/>
      <c r="AM88" s="246">
        <f t="shared" ca="1" si="32"/>
        <v>0</v>
      </c>
      <c r="AN88" s="208"/>
      <c r="AO88" s="208"/>
      <c r="AP88" s="119"/>
    </row>
    <row r="89" spans="1:42" s="38" customFormat="1" ht="15" customHeight="1" x14ac:dyDescent="0.2">
      <c r="A89" s="212" t="s">
        <v>240</v>
      </c>
      <c r="B89" s="40"/>
      <c r="C89" s="40"/>
      <c r="D89" s="40"/>
      <c r="E89" s="27"/>
      <c r="F89" s="40"/>
      <c r="G89" s="40"/>
      <c r="H89" s="40"/>
      <c r="I89" s="40"/>
      <c r="J89" s="27"/>
      <c r="K89" s="40"/>
      <c r="L89" s="27"/>
      <c r="M89" s="40"/>
      <c r="N89" s="40"/>
      <c r="O89" s="40"/>
      <c r="P89" s="40"/>
      <c r="Q89" s="27"/>
      <c r="R89" s="40"/>
      <c r="S89" s="27"/>
      <c r="T89" s="27"/>
      <c r="U89" s="40"/>
      <c r="V89" s="40"/>
      <c r="W89" s="40"/>
      <c r="X89" s="27"/>
      <c r="Y89" s="40"/>
      <c r="Z89" s="39"/>
      <c r="AA89" s="40"/>
      <c r="AB89" s="40"/>
      <c r="AC89" s="40"/>
      <c r="AD89" s="40"/>
      <c r="AE89" s="27"/>
      <c r="AF89" s="205" t="str">
        <f t="shared" si="30"/>
        <v>Non-work-related accident</v>
      </c>
      <c r="AG89" s="218"/>
      <c r="AH89" s="238">
        <f t="shared" si="31"/>
        <v>0</v>
      </c>
      <c r="AI89" s="261"/>
      <c r="AJ89" s="262"/>
      <c r="AK89" s="245">
        <f ca="1">IF(EB.Anwendung&lt;&gt;"",IF(MONTH(Monat.Tag1)=1,0,IF(MONTH(Monat.Tag1)=2,January!Monat.NBUUeVM,IF(MONTH(Monat.Tag1)=3,February!Monat.NBUUeVM,IF(MONTH(Monat.Tag1)=4,March!Monat.NBUUeVM,IF(MONTH(Monat.Tag1)=5,April!Monat.NBUUeVM,IF(MONTH(Monat.Tag1)=6,May!Monat.NBUUeVM,IF(MONTH(Monat.Tag1)=7,June!Monat.NBUUeVM,IF(MONTH(Monat.Tag1)=8,July!Monat.NBUUeVM,IF(MONTH(Monat.Tag1)=9,August!Monat.NBUUeVM,IF(MONTH(Monat.Tag1)=10,September!Monat.NBUUeVM,IF(MONTH(Monat.Tag1)=11,October!Monat.NBUUeVM,IF(MONTH(Monat.Tag1)=12,November!Monat.NBUUeVM,"")))))))))))),"")</f>
        <v>0</v>
      </c>
      <c r="AL89" s="209"/>
      <c r="AM89" s="246">
        <f t="shared" ca="1" si="32"/>
        <v>0</v>
      </c>
      <c r="AN89" s="208"/>
      <c r="AO89" s="208"/>
      <c r="AP89" s="119"/>
    </row>
    <row r="90" spans="1:42" s="38" customFormat="1" ht="15" customHeight="1" x14ac:dyDescent="0.2">
      <c r="A90" s="212" t="s">
        <v>84</v>
      </c>
      <c r="B90" s="40"/>
      <c r="C90" s="40"/>
      <c r="D90" s="40"/>
      <c r="E90" s="27"/>
      <c r="F90" s="40"/>
      <c r="G90" s="40"/>
      <c r="H90" s="40"/>
      <c r="I90" s="40"/>
      <c r="J90" s="27"/>
      <c r="K90" s="40"/>
      <c r="L90" s="27"/>
      <c r="M90" s="40"/>
      <c r="N90" s="40"/>
      <c r="O90" s="40"/>
      <c r="P90" s="40"/>
      <c r="Q90" s="27"/>
      <c r="R90" s="40"/>
      <c r="S90" s="27"/>
      <c r="T90" s="27"/>
      <c r="U90" s="40"/>
      <c r="V90" s="40"/>
      <c r="W90" s="40"/>
      <c r="X90" s="27"/>
      <c r="Y90" s="40"/>
      <c r="Z90" s="39"/>
      <c r="AA90" s="40"/>
      <c r="AB90" s="40"/>
      <c r="AC90" s="40"/>
      <c r="AD90" s="40"/>
      <c r="AE90" s="27"/>
      <c r="AF90" s="205" t="str">
        <f t="shared" si="30"/>
        <v>Military/civilian service</v>
      </c>
      <c r="AG90" s="218"/>
      <c r="AH90" s="238">
        <f t="shared" si="31"/>
        <v>0</v>
      </c>
      <c r="AI90" s="261"/>
      <c r="AJ90" s="262"/>
      <c r="AK90" s="245">
        <f ca="1">IF(EB.Anwendung&lt;&gt;"",IF(MONTH(Monat.Tag1)=1,0,IF(MONTH(Monat.Tag1)=2,January!Monat.MZSUeVM,IF(MONTH(Monat.Tag1)=3,February!Monat.MZSUeVM,IF(MONTH(Monat.Tag1)=4,March!Monat.MZSUeVM,IF(MONTH(Monat.Tag1)=5,April!Monat.MZSUeVM,IF(MONTH(Monat.Tag1)=6,May!Monat.MZSUeVM,IF(MONTH(Monat.Tag1)=7,June!Monat.MZSUeVM,IF(MONTH(Monat.Tag1)=8,July!Monat.MZSUeVM,IF(MONTH(Monat.Tag1)=9,August!Monat.MZSUeVM,IF(MONTH(Monat.Tag1)=10,September!Monat.MZSUeVM,IF(MONTH(Monat.Tag1)=11,October!Monat.MZSUeVM,IF(MONTH(Monat.Tag1)=12,November!Monat.MZSUeVM,"")))))))))))),"")</f>
        <v>0</v>
      </c>
      <c r="AL90" s="209"/>
      <c r="AM90" s="246">
        <f t="shared" ca="1" si="32"/>
        <v>0</v>
      </c>
      <c r="AN90" s="208"/>
      <c r="AO90" s="208"/>
      <c r="AP90" s="119"/>
    </row>
    <row r="91" spans="1:42" s="38" customFormat="1" ht="15" customHeight="1" x14ac:dyDescent="0.2">
      <c r="A91" s="212" t="s">
        <v>85</v>
      </c>
      <c r="B91" s="40"/>
      <c r="C91" s="40"/>
      <c r="D91" s="40"/>
      <c r="E91" s="27"/>
      <c r="F91" s="40"/>
      <c r="G91" s="40"/>
      <c r="H91" s="40"/>
      <c r="I91" s="40"/>
      <c r="J91" s="27"/>
      <c r="K91" s="40"/>
      <c r="L91" s="27"/>
      <c r="M91" s="40"/>
      <c r="N91" s="40"/>
      <c r="O91" s="40"/>
      <c r="P91" s="40"/>
      <c r="Q91" s="27"/>
      <c r="R91" s="40"/>
      <c r="S91" s="27"/>
      <c r="T91" s="27"/>
      <c r="U91" s="40"/>
      <c r="V91" s="40"/>
      <c r="W91" s="40"/>
      <c r="X91" s="27"/>
      <c r="Y91" s="40"/>
      <c r="Z91" s="39"/>
      <c r="AA91" s="40"/>
      <c r="AB91" s="40"/>
      <c r="AC91" s="40"/>
      <c r="AD91" s="40"/>
      <c r="AE91" s="27"/>
      <c r="AF91" s="205" t="str">
        <f t="shared" si="30"/>
        <v>Continuing education</v>
      </c>
      <c r="AG91" s="218"/>
      <c r="AH91" s="238">
        <f t="shared" si="31"/>
        <v>0</v>
      </c>
      <c r="AI91" s="261"/>
      <c r="AJ91" s="262"/>
      <c r="AK91" s="245">
        <f ca="1">IF(EB.Anwendung&lt;&gt;"",IF(MONTH(Monat.Tag1)=1,0,IF(MONTH(Monat.Tag1)=2,January!Monat.WBUeVM,IF(MONTH(Monat.Tag1)=3,February!Monat.WBUeVM,IF(MONTH(Monat.Tag1)=4,March!Monat.WBUeVM,IF(MONTH(Monat.Tag1)=5,April!Monat.WBUeVM,IF(MONTH(Monat.Tag1)=6,May!Monat.WBUeVM,IF(MONTH(Monat.Tag1)=7,June!Monat.WBUeVM,IF(MONTH(Monat.Tag1)=8,July!Monat.WBUeVM,IF(MONTH(Monat.Tag1)=9,August!Monat.WBUeVM,IF(MONTH(Monat.Tag1)=10,September!Monat.WBUeVM,IF(MONTH(Monat.Tag1)=11,October!Monat.WBUeVM,IF(MONTH(Monat.Tag1)=12,November!Monat.WBUeVM,"")))))))))))),"")</f>
        <v>0</v>
      </c>
      <c r="AL91" s="209"/>
      <c r="AM91" s="246">
        <f t="shared" ca="1" si="32"/>
        <v>0</v>
      </c>
      <c r="AN91" s="208"/>
      <c r="AO91" s="208"/>
      <c r="AP91" s="119"/>
    </row>
    <row r="92" spans="1:42" s="38" customFormat="1" ht="15" customHeight="1" x14ac:dyDescent="0.2">
      <c r="A92" s="212" t="s">
        <v>86</v>
      </c>
      <c r="B92" s="40"/>
      <c r="C92" s="40"/>
      <c r="D92" s="40"/>
      <c r="E92" s="27"/>
      <c r="F92" s="40"/>
      <c r="G92" s="40"/>
      <c r="H92" s="40"/>
      <c r="I92" s="40"/>
      <c r="J92" s="27"/>
      <c r="K92" s="40"/>
      <c r="L92" s="27"/>
      <c r="M92" s="40"/>
      <c r="N92" s="40"/>
      <c r="O92" s="40"/>
      <c r="P92" s="40"/>
      <c r="Q92" s="27"/>
      <c r="R92" s="40"/>
      <c r="S92" s="27"/>
      <c r="T92" s="27"/>
      <c r="U92" s="40"/>
      <c r="V92" s="40"/>
      <c r="W92" s="40"/>
      <c r="X92" s="27"/>
      <c r="Y92" s="40"/>
      <c r="Z92" s="39"/>
      <c r="AA92" s="40"/>
      <c r="AB92" s="40"/>
      <c r="AC92" s="40"/>
      <c r="AD92" s="40"/>
      <c r="AE92" s="27"/>
      <c r="AF92" s="205" t="str">
        <f t="shared" si="30"/>
        <v>Paid leave</v>
      </c>
      <c r="AG92" s="218"/>
      <c r="AH92" s="238">
        <f t="shared" si="31"/>
        <v>0</v>
      </c>
      <c r="AI92" s="261"/>
      <c r="AJ92" s="262"/>
      <c r="AK92" s="245">
        <f ca="1">IF(EB.Anwendung&lt;&gt;"",IF(MONTH(Monat.Tag1)=1,0,IF(MONTH(Monat.Tag1)=2,January!Monat.BesUrlaubUeVM,IF(MONTH(Monat.Tag1)=3,February!Monat.BesUrlaubUeVM,IF(MONTH(Monat.Tag1)=4,March!Monat.BesUrlaubUeVM,IF(MONTH(Monat.Tag1)=5,April!Monat.BesUrlaubUeVM,IF(MONTH(Monat.Tag1)=6,May!Monat.BesUrlaubUeVM,IF(MONTH(Monat.Tag1)=7,June!Monat.BesUrlaubUeVM,IF(MONTH(Monat.Tag1)=8,July!Monat.BesUrlaubUeVM,IF(MONTH(Monat.Tag1)=9,August!Monat.BesUrlaubUeVM,IF(MONTH(Monat.Tag1)=10,September!Monat.BesUrlaubUeVM,IF(MONTH(Monat.Tag1)=11,October!Monat.BesUrlaubUeVM,IF(MONTH(Monat.Tag1)=12,November!Monat.BesUrlaubUeVM,"")))))))))))),"")</f>
        <v>0</v>
      </c>
      <c r="AL92" s="209"/>
      <c r="AM92" s="246">
        <f t="shared" ca="1" si="32"/>
        <v>0</v>
      </c>
      <c r="AN92" s="208"/>
      <c r="AO92" s="208"/>
      <c r="AP92" s="119"/>
    </row>
    <row r="93" spans="1:42" s="38" customFormat="1" ht="15" customHeight="1" x14ac:dyDescent="0.2">
      <c r="A93" s="212" t="s">
        <v>87</v>
      </c>
      <c r="B93" s="40"/>
      <c r="C93" s="40"/>
      <c r="D93" s="40"/>
      <c r="E93" s="27"/>
      <c r="F93" s="40"/>
      <c r="G93" s="40"/>
      <c r="H93" s="40"/>
      <c r="I93" s="40"/>
      <c r="J93" s="27"/>
      <c r="K93" s="40"/>
      <c r="L93" s="27"/>
      <c r="M93" s="40"/>
      <c r="N93" s="40"/>
      <c r="O93" s="40"/>
      <c r="P93" s="40"/>
      <c r="Q93" s="27"/>
      <c r="R93" s="40"/>
      <c r="S93" s="27"/>
      <c r="T93" s="27"/>
      <c r="U93" s="40"/>
      <c r="V93" s="40"/>
      <c r="W93" s="40"/>
      <c r="X93" s="27"/>
      <c r="Y93" s="40"/>
      <c r="Z93" s="39"/>
      <c r="AA93" s="40"/>
      <c r="AB93" s="40"/>
      <c r="AC93" s="40"/>
      <c r="AD93" s="40"/>
      <c r="AE93" s="27"/>
      <c r="AF93" s="205" t="str">
        <f t="shared" si="30"/>
        <v>Unpaid leave</v>
      </c>
      <c r="AG93" s="218"/>
      <c r="AH93" s="238">
        <f t="shared" si="31"/>
        <v>0</v>
      </c>
      <c r="AI93" s="261"/>
      <c r="AJ93" s="262"/>
      <c r="AK93" s="245">
        <f ca="1">IF(EB.Anwendung&lt;&gt;"",IF(MONTH(Monat.Tag1)=1,0,IF(MONTH(Monat.Tag1)=2,January!Monat.UnbesUrlaubUeVM,IF(MONTH(Monat.Tag1)=3,February!Monat.UnbesUrlaubUeVM,IF(MONTH(Monat.Tag1)=4,March!Monat.UnbesUrlaubUeVM,IF(MONTH(Monat.Tag1)=5,April!Monat.UnbesUrlaubUeVM,IF(MONTH(Monat.Tag1)=6,May!Monat.UnbesUrlaubUeVM,IF(MONTH(Monat.Tag1)=7,June!Monat.UnbesUrlaubUeVM,IF(MONTH(Monat.Tag1)=8,July!Monat.UnbesUrlaubUeVM,IF(MONTH(Monat.Tag1)=9,August!Monat.UnbesUrlaubUeVM,IF(MONTH(Monat.Tag1)=10,September!Monat.UnbesUrlaubUeVM,IF(MONTH(Monat.Tag1)=11,October!Monat.UnbesUrlaubUeVM,IF(MONTH(Monat.Tag1)=12,November!Monat.UnbesUrlaubUeVM,"")))))))))))),"")</f>
        <v>0</v>
      </c>
      <c r="AL93" s="209"/>
      <c r="AM93" s="246">
        <f t="shared" ca="1" si="32"/>
        <v>0</v>
      </c>
      <c r="AN93" s="208"/>
      <c r="AO93" s="208"/>
      <c r="AP93" s="119"/>
    </row>
    <row r="94" spans="1:42" s="38" customFormat="1" ht="15" hidden="1" customHeight="1" outlineLevel="1" x14ac:dyDescent="0.2">
      <c r="A94" s="212" t="s">
        <v>120</v>
      </c>
      <c r="B94" s="40"/>
      <c r="C94" s="40"/>
      <c r="D94" s="40"/>
      <c r="E94" s="27"/>
      <c r="F94" s="40"/>
      <c r="G94" s="40"/>
      <c r="H94" s="40"/>
      <c r="I94" s="40"/>
      <c r="J94" s="27"/>
      <c r="K94" s="40"/>
      <c r="L94" s="27"/>
      <c r="M94" s="40"/>
      <c r="N94" s="40"/>
      <c r="O94" s="40"/>
      <c r="P94" s="40"/>
      <c r="Q94" s="27"/>
      <c r="R94" s="40"/>
      <c r="S94" s="27"/>
      <c r="T94" s="27"/>
      <c r="U94" s="40"/>
      <c r="V94" s="40"/>
      <c r="W94" s="40"/>
      <c r="X94" s="27"/>
      <c r="Y94" s="40"/>
      <c r="Z94" s="39"/>
      <c r="AA94" s="40"/>
      <c r="AB94" s="40"/>
      <c r="AC94" s="40"/>
      <c r="AD94" s="40"/>
      <c r="AE94" s="27"/>
      <c r="AF94" s="205" t="str">
        <f t="shared" si="30"/>
        <v>Secondary employment</v>
      </c>
      <c r="AG94" s="218"/>
      <c r="AH94" s="238">
        <f t="shared" si="31"/>
        <v>0</v>
      </c>
      <c r="AI94" s="261"/>
      <c r="AJ94" s="262"/>
      <c r="AK94" s="245">
        <f ca="1">IF(EB.Anwendung&lt;&gt;"",IF(MONTH(Monat.Tag1)=1,0,IF(MONTH(Monat.Tag1)=2,January!Monat.NBUeVM,IF(MONTH(Monat.Tag1)=3,February!Monat.NBUeVM,IF(MONTH(Monat.Tag1)=4,March!Monat.NBUeVM,IF(MONTH(Monat.Tag1)=5,April!Monat.NBUeVM,IF(MONTH(Monat.Tag1)=6,May!Monat.NBUeVM,IF(MONTH(Monat.Tag1)=7,June!Monat.NBUeVM,IF(MONTH(Monat.Tag1)=8,July!Monat.NBUeVM,IF(MONTH(Monat.Tag1)=9,August!Monat.NBUeVM,IF(MONTH(Monat.Tag1)=10,September!Monat.NBUeVM,IF(MONTH(Monat.Tag1)=11,October!Monat.NBUeVM,IF(MONTH(Monat.Tag1)=12,November!Monat.NBUeVM,"")))))))))))),"")</f>
        <v>0</v>
      </c>
      <c r="AL94" s="209"/>
      <c r="AM94" s="246">
        <f t="shared" ca="1" si="32"/>
        <v>0</v>
      </c>
      <c r="AN94" s="208"/>
      <c r="AO94" s="208"/>
      <c r="AP94" s="119"/>
    </row>
    <row r="95" spans="1:42" s="38" customFormat="1" ht="15" customHeight="1" collapsed="1" x14ac:dyDescent="0.2">
      <c r="A95" s="212" t="s">
        <v>56</v>
      </c>
      <c r="B95" s="40"/>
      <c r="C95" s="40"/>
      <c r="D95" s="40"/>
      <c r="E95" s="27"/>
      <c r="F95" s="40"/>
      <c r="G95" s="40"/>
      <c r="H95" s="40"/>
      <c r="I95" s="40"/>
      <c r="J95" s="27"/>
      <c r="K95" s="40"/>
      <c r="L95" s="27"/>
      <c r="M95" s="40"/>
      <c r="N95" s="40"/>
      <c r="O95" s="40"/>
      <c r="P95" s="40"/>
      <c r="Q95" s="27"/>
      <c r="R95" s="40"/>
      <c r="S95" s="27"/>
      <c r="T95" s="27"/>
      <c r="U95" s="40"/>
      <c r="V95" s="40"/>
      <c r="W95" s="40"/>
      <c r="X95" s="27"/>
      <c r="Y95" s="40"/>
      <c r="Z95" s="39"/>
      <c r="AA95" s="40"/>
      <c r="AB95" s="40"/>
      <c r="AC95" s="40"/>
      <c r="AD95" s="40"/>
      <c r="AE95" s="27"/>
      <c r="AF95" s="205" t="str">
        <f t="shared" si="30"/>
        <v>Seniority allowance</v>
      </c>
      <c r="AG95" s="218"/>
      <c r="AH95" s="238">
        <f t="shared" si="31"/>
        <v>0</v>
      </c>
      <c r="AI95" s="261"/>
      <c r="AJ95" s="262"/>
      <c r="AK95" s="245">
        <f ca="1">IF(EB.Anwendung&lt;&gt;"",IF(MONTH(Monat.Tag1)=1,EB.DAG,IF(MONTH(Monat.Tag1)=2,January!Monat.DAGUeVM,IF(MONTH(Monat.Tag1)=3,February!Monat.DAGUeVM,IF(MONTH(Monat.Tag1)=4,March!Monat.DAGUeVM,IF(MONTH(Monat.Tag1)=5,April!Monat.DAGUeVM,IF(MONTH(Monat.Tag1)=6,May!Monat.DAGUeVM,IF(MONTH(Monat.Tag1)=7,June!Monat.DAGUeVM,IF(MONTH(Monat.Tag1)=8,July!Monat.DAGUeVM,IF(MONTH(Monat.Tag1)=9,August!Monat.DAGUeVM,IF(MONTH(Monat.Tag1)=10,September!Monat.DAGUeVM,IF(MONTH(Monat.Tag1)=11,October!Monat.DAGUeVM,IF(MONTH(Monat.Tag1)=12,November!Monat.DAGUeVM,"")))))))))))),"")</f>
        <v>0</v>
      </c>
      <c r="AL95" s="209"/>
      <c r="AM95" s="246">
        <f ca="1">AK95-AH95</f>
        <v>0</v>
      </c>
      <c r="AN95" s="208"/>
      <c r="AO95" s="208"/>
      <c r="AP95" s="119"/>
    </row>
    <row r="96" spans="1:42" s="38" customFormat="1" ht="11.25" customHeight="1" x14ac:dyDescent="0.2">
      <c r="A96" s="220"/>
      <c r="B96" s="223"/>
      <c r="C96" s="223"/>
      <c r="D96" s="223"/>
      <c r="E96" s="223"/>
      <c r="F96" s="223"/>
      <c r="G96" s="223"/>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23"/>
      <c r="AF96" s="205"/>
      <c r="AG96" s="228"/>
      <c r="AH96" s="224"/>
      <c r="AI96" s="278"/>
      <c r="AJ96" s="262"/>
      <c r="AK96" s="262"/>
      <c r="AL96" s="209"/>
      <c r="AM96" s="279"/>
      <c r="AN96" s="213"/>
      <c r="AO96" s="213"/>
      <c r="AP96" s="119"/>
    </row>
    <row r="97" spans="1:42" s="38" customFormat="1" ht="15" customHeight="1" x14ac:dyDescent="0.2">
      <c r="A97" s="215" t="str">
        <f t="shared" ref="A97:A111" ca="1" si="33">IF(ROW(A97)-ROW(INDEX(Monat.Projekte.Zeilen,1))+1&gt;EB.AnzProjekte,"",OFFSET(EB.Projekte.Knoten,ROW(A97)-ROW(INDEX(Monat.Projekte.Zeilen,1))+1,0,1,1))</f>
        <v/>
      </c>
      <c r="B97" s="40"/>
      <c r="C97" s="40"/>
      <c r="D97" s="40"/>
      <c r="E97" s="27"/>
      <c r="F97" s="40"/>
      <c r="G97" s="40"/>
      <c r="H97" s="40"/>
      <c r="I97" s="40"/>
      <c r="J97" s="27"/>
      <c r="K97" s="40"/>
      <c r="L97" s="27"/>
      <c r="M97" s="40"/>
      <c r="N97" s="40"/>
      <c r="O97" s="40"/>
      <c r="P97" s="40"/>
      <c r="Q97" s="27"/>
      <c r="R97" s="40"/>
      <c r="S97" s="27"/>
      <c r="T97" s="27"/>
      <c r="U97" s="40"/>
      <c r="V97" s="40"/>
      <c r="W97" s="40"/>
      <c r="X97" s="27"/>
      <c r="Y97" s="40"/>
      <c r="Z97" s="39"/>
      <c r="AA97" s="40"/>
      <c r="AB97" s="40"/>
      <c r="AC97" s="40"/>
      <c r="AD97" s="40"/>
      <c r="AE97" s="27"/>
      <c r="AF97" s="205" t="str">
        <f t="shared" ref="AF97:AF112" ca="1" si="34">A97</f>
        <v/>
      </c>
      <c r="AG97" s="233"/>
      <c r="AH97" s="285">
        <f t="shared" ref="AH97:AH112" si="35">SUM(B97:AE97)</f>
        <v>0</v>
      </c>
      <c r="AI97" s="261"/>
      <c r="AJ97" s="224"/>
      <c r="AK97" s="245">
        <f ca="1">IF(EB.Anwendung&lt;&gt;"",IF(MONTH(Monat.Tag1)=1,0,IF(MONTH(Monat.Tag1)=2,January!Monat.P1UeVM,IF(MONTH(Monat.Tag1)=3,February!Monat.P1UeVM,IF(MONTH(Monat.Tag1)=4,March!Monat.P1UeVM,IF(MONTH(Monat.Tag1)=5,April!Monat.P1UeVM,IF(MONTH(Monat.Tag1)=6,May!Monat.P1UeVM,IF(MONTH(Monat.Tag1)=7,June!Monat.P1UeVM,IF(MONTH(Monat.Tag1)=8,July!Monat.P1UeVM,IF(MONTH(Monat.Tag1)=9,August!Monat.P1UeVM,IF(MONTH(Monat.Tag1)=10,September!Monat.P1UeVM,IF(MONTH(Monat.Tag1)=11,October!Monat.P1UeVM,IF(MONTH(Monat.Tag1)=12,November!Monat.P1UeVM,"")))))))))))),"")</f>
        <v>0</v>
      </c>
      <c r="AL97" s="209"/>
      <c r="AM97" s="246">
        <f t="shared" ref="AM97:AM112" ca="1" si="36">AH97+AK97</f>
        <v>0</v>
      </c>
      <c r="AN97" s="208"/>
      <c r="AO97" s="208"/>
      <c r="AP97" s="119"/>
    </row>
    <row r="98" spans="1:42" s="38" customFormat="1" ht="15" customHeight="1" x14ac:dyDescent="0.2">
      <c r="A98" s="215" t="str">
        <f t="shared" ca="1" si="33"/>
        <v/>
      </c>
      <c r="B98" s="40"/>
      <c r="C98" s="40"/>
      <c r="D98" s="40"/>
      <c r="E98" s="27"/>
      <c r="F98" s="40"/>
      <c r="G98" s="40"/>
      <c r="H98" s="40"/>
      <c r="I98" s="40"/>
      <c r="J98" s="27"/>
      <c r="K98" s="40"/>
      <c r="L98" s="27"/>
      <c r="M98" s="40"/>
      <c r="N98" s="40"/>
      <c r="O98" s="40"/>
      <c r="P98" s="40"/>
      <c r="Q98" s="27"/>
      <c r="R98" s="40"/>
      <c r="S98" s="27"/>
      <c r="T98" s="27"/>
      <c r="U98" s="40"/>
      <c r="V98" s="40"/>
      <c r="W98" s="40"/>
      <c r="X98" s="27"/>
      <c r="Y98" s="40"/>
      <c r="Z98" s="39"/>
      <c r="AA98" s="40"/>
      <c r="AB98" s="40"/>
      <c r="AC98" s="40"/>
      <c r="AD98" s="40"/>
      <c r="AE98" s="27"/>
      <c r="AF98" s="205" t="str">
        <f t="shared" ca="1" si="34"/>
        <v/>
      </c>
      <c r="AG98" s="218"/>
      <c r="AH98" s="238">
        <f t="shared" si="35"/>
        <v>0</v>
      </c>
      <c r="AI98" s="261"/>
      <c r="AJ98" s="224"/>
      <c r="AK98" s="245">
        <f ca="1">IF(EB.Anwendung&lt;&gt;"",IF(MONTH(Monat.Tag1)=1,0,IF(MONTH(Monat.Tag1)=2,January!Monat.P2UeVM,IF(MONTH(Monat.Tag1)=3,February!Monat.P2UeVM,IF(MONTH(Monat.Tag1)=4,March!Monat.P2UeVM,IF(MONTH(Monat.Tag1)=5,April!Monat.P2UeVM,IF(MONTH(Monat.Tag1)=6,May!Monat.P2UeVM,IF(MONTH(Monat.Tag1)=7,June!Monat.P2UeVM,IF(MONTH(Monat.Tag1)=8,July!Monat.P2UeVM,IF(MONTH(Monat.Tag1)=9,August!Monat.P2UeVM,IF(MONTH(Monat.Tag1)=10,September!Monat.P2UeVM,IF(MONTH(Monat.Tag1)=11,October!Monat.P2UeVM,IF(MONTH(Monat.Tag1)=12,November!Monat.P2UeVM,"")))))))))))),"")</f>
        <v>0</v>
      </c>
      <c r="AL98" s="209"/>
      <c r="AM98" s="246">
        <f t="shared" ca="1" si="36"/>
        <v>0</v>
      </c>
      <c r="AN98" s="208"/>
      <c r="AO98" s="208"/>
      <c r="AP98" s="119"/>
    </row>
    <row r="99" spans="1:42" s="38" customFormat="1" ht="15" customHeight="1" x14ac:dyDescent="0.2">
      <c r="A99" s="215" t="str">
        <f t="shared" ca="1" si="33"/>
        <v/>
      </c>
      <c r="B99" s="40"/>
      <c r="C99" s="40"/>
      <c r="D99" s="40"/>
      <c r="E99" s="27"/>
      <c r="F99" s="40"/>
      <c r="G99" s="40"/>
      <c r="H99" s="40"/>
      <c r="I99" s="40"/>
      <c r="J99" s="27"/>
      <c r="K99" s="40"/>
      <c r="L99" s="27"/>
      <c r="M99" s="40"/>
      <c r="N99" s="40"/>
      <c r="O99" s="40"/>
      <c r="P99" s="40"/>
      <c r="Q99" s="27"/>
      <c r="R99" s="40"/>
      <c r="S99" s="27"/>
      <c r="T99" s="27"/>
      <c r="U99" s="40"/>
      <c r="V99" s="40"/>
      <c r="W99" s="40"/>
      <c r="X99" s="27"/>
      <c r="Y99" s="40"/>
      <c r="Z99" s="39"/>
      <c r="AA99" s="40"/>
      <c r="AB99" s="40"/>
      <c r="AC99" s="40"/>
      <c r="AD99" s="40"/>
      <c r="AE99" s="27"/>
      <c r="AF99" s="205" t="str">
        <f t="shared" ca="1" si="34"/>
        <v/>
      </c>
      <c r="AG99" s="286"/>
      <c r="AH99" s="238">
        <f t="shared" si="35"/>
        <v>0</v>
      </c>
      <c r="AI99" s="261"/>
      <c r="AJ99" s="224"/>
      <c r="AK99" s="245">
        <f ca="1">IF(EB.Anwendung&lt;&gt;"",IF(MONTH(Monat.Tag1)=1,0,IF(MONTH(Monat.Tag1)=2,January!Monat.P3UeVM,IF(MONTH(Monat.Tag1)=3,February!Monat.P3UeVM,IF(MONTH(Monat.Tag1)=4,March!Monat.P3UeVM,IF(MONTH(Monat.Tag1)=5,April!Monat.P3UeVM,IF(MONTH(Monat.Tag1)=6,May!Monat.P3UeVM,IF(MONTH(Monat.Tag1)=7,June!Monat.P3UeVM,IF(MONTH(Monat.Tag1)=8,July!Monat.P3UeVM,IF(MONTH(Monat.Tag1)=9,August!Monat.P3UeVM,IF(MONTH(Monat.Tag1)=10,September!Monat.P3UeVM,IF(MONTH(Monat.Tag1)=11,October!Monat.P3UeVM,IF(MONTH(Monat.Tag1)=12,November!Monat.P3UeVM,"")))))))))))),"")</f>
        <v>0</v>
      </c>
      <c r="AL99" s="209"/>
      <c r="AM99" s="246">
        <f t="shared" ca="1" si="36"/>
        <v>0</v>
      </c>
      <c r="AN99" s="208"/>
      <c r="AO99" s="208"/>
      <c r="AP99" s="119"/>
    </row>
    <row r="100" spans="1:42" s="38" customFormat="1" ht="15" customHeight="1" x14ac:dyDescent="0.2">
      <c r="A100" s="215" t="str">
        <f t="shared" ca="1" si="33"/>
        <v/>
      </c>
      <c r="B100" s="40"/>
      <c r="C100" s="40"/>
      <c r="D100" s="40"/>
      <c r="E100" s="27"/>
      <c r="F100" s="40"/>
      <c r="G100" s="40"/>
      <c r="H100" s="40"/>
      <c r="I100" s="40"/>
      <c r="J100" s="27"/>
      <c r="K100" s="40"/>
      <c r="L100" s="27"/>
      <c r="M100" s="40"/>
      <c r="N100" s="40"/>
      <c r="O100" s="40"/>
      <c r="P100" s="40"/>
      <c r="Q100" s="27"/>
      <c r="R100" s="40"/>
      <c r="S100" s="27"/>
      <c r="T100" s="27"/>
      <c r="U100" s="40"/>
      <c r="V100" s="40"/>
      <c r="W100" s="40"/>
      <c r="X100" s="27"/>
      <c r="Y100" s="40"/>
      <c r="Z100" s="39"/>
      <c r="AA100" s="40"/>
      <c r="AB100" s="40"/>
      <c r="AC100" s="40"/>
      <c r="AD100" s="40"/>
      <c r="AE100" s="27"/>
      <c r="AF100" s="205" t="str">
        <f t="shared" ca="1" si="34"/>
        <v/>
      </c>
      <c r="AG100" s="228"/>
      <c r="AH100" s="238">
        <f t="shared" si="35"/>
        <v>0</v>
      </c>
      <c r="AI100" s="261"/>
      <c r="AJ100" s="224"/>
      <c r="AK100" s="245">
        <f ca="1">IF(EB.Anwendung&lt;&gt;"",IF(MONTH(Monat.Tag1)=1,0,IF(MONTH(Monat.Tag1)=2,January!Monat.P4UeVM,IF(MONTH(Monat.Tag1)=3,February!Monat.P4UeVM,IF(MONTH(Monat.Tag1)=4,March!Monat.P4UeVM,IF(MONTH(Monat.Tag1)=5,April!Monat.P4UeVM,IF(MONTH(Monat.Tag1)=6,May!Monat.P4UeVM,IF(MONTH(Monat.Tag1)=7,June!Monat.P4UeVM,IF(MONTH(Monat.Tag1)=8,July!Monat.P4UeVM,IF(MONTH(Monat.Tag1)=9,August!Monat.P4UeVM,IF(MONTH(Monat.Tag1)=10,September!Monat.P4UeVM,IF(MONTH(Monat.Tag1)=11,October!Monat.P4UeVM,IF(MONTH(Monat.Tag1)=12,November!Monat.P4UeVM,"")))))))))))),"")</f>
        <v>0</v>
      </c>
      <c r="AL100" s="209"/>
      <c r="AM100" s="246">
        <f t="shared" ca="1" si="36"/>
        <v>0</v>
      </c>
      <c r="AN100" s="208"/>
      <c r="AO100" s="208"/>
      <c r="AP100" s="119"/>
    </row>
    <row r="101" spans="1:42" s="38" customFormat="1" ht="15" customHeight="1" x14ac:dyDescent="0.2">
      <c r="A101" s="215" t="str">
        <f t="shared" ca="1" si="33"/>
        <v/>
      </c>
      <c r="B101" s="40"/>
      <c r="C101" s="40"/>
      <c r="D101" s="40"/>
      <c r="E101" s="27"/>
      <c r="F101" s="40"/>
      <c r="G101" s="40"/>
      <c r="H101" s="40"/>
      <c r="I101" s="40"/>
      <c r="J101" s="27"/>
      <c r="K101" s="40"/>
      <c r="L101" s="27"/>
      <c r="M101" s="40"/>
      <c r="N101" s="40"/>
      <c r="O101" s="40"/>
      <c r="P101" s="40"/>
      <c r="Q101" s="27"/>
      <c r="R101" s="40"/>
      <c r="S101" s="27"/>
      <c r="T101" s="27"/>
      <c r="U101" s="40"/>
      <c r="V101" s="40"/>
      <c r="W101" s="40"/>
      <c r="X101" s="27"/>
      <c r="Y101" s="40"/>
      <c r="Z101" s="39"/>
      <c r="AA101" s="40"/>
      <c r="AB101" s="40"/>
      <c r="AC101" s="40"/>
      <c r="AD101" s="40"/>
      <c r="AE101" s="27"/>
      <c r="AF101" s="205" t="str">
        <f t="shared" ca="1" si="34"/>
        <v/>
      </c>
      <c r="AG101" s="218"/>
      <c r="AH101" s="238">
        <f t="shared" si="35"/>
        <v>0</v>
      </c>
      <c r="AI101" s="261"/>
      <c r="AJ101" s="224"/>
      <c r="AK101" s="245">
        <f ca="1">IF(EB.Anwendung&lt;&gt;"",IF(MONTH(Monat.Tag1)=1,0,IF(MONTH(Monat.Tag1)=2,January!Monat.P5UeVM,IF(MONTH(Monat.Tag1)=3,February!Monat.P5UeVM,IF(MONTH(Monat.Tag1)=4,March!Monat.P5UeVM,IF(MONTH(Monat.Tag1)=5,April!Monat.P5UeVM,IF(MONTH(Monat.Tag1)=6,May!Monat.P5UeVM,IF(MONTH(Monat.Tag1)=7,June!Monat.P5UeVM,IF(MONTH(Monat.Tag1)=8,July!Monat.P5UeVM,IF(MONTH(Monat.Tag1)=9,August!Monat.P5UeVM,IF(MONTH(Monat.Tag1)=10,September!Monat.P5UeVM,IF(MONTH(Monat.Tag1)=11,October!Monat.P5UeVM,IF(MONTH(Monat.Tag1)=12,November!Monat.P5UeVM,"")))))))))))),"")</f>
        <v>0</v>
      </c>
      <c r="AL101" s="209"/>
      <c r="AM101" s="246">
        <f t="shared" ca="1" si="36"/>
        <v>0</v>
      </c>
      <c r="AN101" s="208"/>
      <c r="AO101" s="208"/>
      <c r="AP101" s="119"/>
    </row>
    <row r="102" spans="1:42" s="38" customFormat="1" ht="15" hidden="1" customHeight="1" outlineLevel="1" x14ac:dyDescent="0.2">
      <c r="A102" s="215" t="str">
        <f t="shared" ca="1" si="33"/>
        <v/>
      </c>
      <c r="B102" s="40"/>
      <c r="C102" s="40"/>
      <c r="D102" s="40"/>
      <c r="E102" s="27"/>
      <c r="F102" s="40"/>
      <c r="G102" s="40"/>
      <c r="H102" s="40"/>
      <c r="I102" s="40"/>
      <c r="J102" s="27"/>
      <c r="K102" s="40"/>
      <c r="L102" s="27"/>
      <c r="M102" s="40"/>
      <c r="N102" s="40"/>
      <c r="O102" s="40"/>
      <c r="P102" s="40"/>
      <c r="Q102" s="27"/>
      <c r="R102" s="40"/>
      <c r="S102" s="27"/>
      <c r="T102" s="27"/>
      <c r="U102" s="40"/>
      <c r="V102" s="40"/>
      <c r="W102" s="40"/>
      <c r="X102" s="27"/>
      <c r="Y102" s="40"/>
      <c r="Z102" s="39"/>
      <c r="AA102" s="40"/>
      <c r="AB102" s="40"/>
      <c r="AC102" s="40"/>
      <c r="AD102" s="40"/>
      <c r="AE102" s="27"/>
      <c r="AF102" s="205" t="str">
        <f t="shared" ca="1" si="34"/>
        <v/>
      </c>
      <c r="AG102" s="286"/>
      <c r="AH102" s="238">
        <f t="shared" si="35"/>
        <v>0</v>
      </c>
      <c r="AI102" s="261"/>
      <c r="AJ102" s="224"/>
      <c r="AK102" s="245">
        <f ca="1">IF(EB.Anwendung&lt;&gt;"",IF(MONTH(Monat.Tag1)=1,0,IF(MONTH(Monat.Tag1)=2,January!Monat.P6UeVM,IF(MONTH(Monat.Tag1)=3,February!Monat.P6UeVM,IF(MONTH(Monat.Tag1)=4,March!Monat.P6UeVM,IF(MONTH(Monat.Tag1)=5,April!Monat.P6UeVM,IF(MONTH(Monat.Tag1)=6,May!Monat.P6UeVM,IF(MONTH(Monat.Tag1)=7,June!Monat.P6UeVM,IF(MONTH(Monat.Tag1)=8,July!Monat.P6UeVM,IF(MONTH(Monat.Tag1)=9,August!Monat.P6UeVM,IF(MONTH(Monat.Tag1)=10,September!Monat.P6UeVM,IF(MONTH(Monat.Tag1)=11,October!Monat.P6UeVM,IF(MONTH(Monat.Tag1)=12,November!Monat.P6UeVM,"")))))))))))),"")</f>
        <v>0</v>
      </c>
      <c r="AL102" s="209"/>
      <c r="AM102" s="246">
        <f t="shared" ca="1" si="36"/>
        <v>0</v>
      </c>
      <c r="AN102" s="208"/>
      <c r="AO102" s="208"/>
      <c r="AP102" s="119"/>
    </row>
    <row r="103" spans="1:42" s="38" customFormat="1" ht="15" hidden="1" customHeight="1" outlineLevel="1" x14ac:dyDescent="0.2">
      <c r="A103" s="215" t="str">
        <f t="shared" ca="1" si="33"/>
        <v/>
      </c>
      <c r="B103" s="40"/>
      <c r="C103" s="40"/>
      <c r="D103" s="40"/>
      <c r="E103" s="27"/>
      <c r="F103" s="40"/>
      <c r="G103" s="40"/>
      <c r="H103" s="40"/>
      <c r="I103" s="40"/>
      <c r="J103" s="27"/>
      <c r="K103" s="40"/>
      <c r="L103" s="27"/>
      <c r="M103" s="40"/>
      <c r="N103" s="40"/>
      <c r="O103" s="40"/>
      <c r="P103" s="40"/>
      <c r="Q103" s="27"/>
      <c r="R103" s="40"/>
      <c r="S103" s="27"/>
      <c r="T103" s="27"/>
      <c r="U103" s="40"/>
      <c r="V103" s="40"/>
      <c r="W103" s="40"/>
      <c r="X103" s="27"/>
      <c r="Y103" s="40"/>
      <c r="Z103" s="39"/>
      <c r="AA103" s="40"/>
      <c r="AB103" s="40"/>
      <c r="AC103" s="40"/>
      <c r="AD103" s="40"/>
      <c r="AE103" s="27"/>
      <c r="AF103" s="205" t="str">
        <f t="shared" ca="1" si="34"/>
        <v/>
      </c>
      <c r="AG103" s="228"/>
      <c r="AH103" s="238">
        <f t="shared" si="35"/>
        <v>0</v>
      </c>
      <c r="AI103" s="261"/>
      <c r="AJ103" s="224"/>
      <c r="AK103" s="245">
        <f ca="1">IF(EB.Anwendung&lt;&gt;"",IF(MONTH(Monat.Tag1)=1,0,IF(MONTH(Monat.Tag1)=2,January!Monat.P7UeVM,IF(MONTH(Monat.Tag1)=3,February!Monat.P7UeVM,IF(MONTH(Monat.Tag1)=4,March!Monat.P7UeVM,IF(MONTH(Monat.Tag1)=5,April!Monat.P7UeVM,IF(MONTH(Monat.Tag1)=6,May!Monat.P7UeVM,IF(MONTH(Monat.Tag1)=7,June!Monat.P7UeVM,IF(MONTH(Monat.Tag1)=8,July!Monat.P7UeVM,IF(MONTH(Monat.Tag1)=9,August!Monat.P7UeVM,IF(MONTH(Monat.Tag1)=10,September!Monat.P7UeVM,IF(MONTH(Monat.Tag1)=11,October!Monat.P7UeVM,IF(MONTH(Monat.Tag1)=12,November!Monat.P7UeVM,"")))))))))))),"")</f>
        <v>0</v>
      </c>
      <c r="AL103" s="209"/>
      <c r="AM103" s="246">
        <f t="shared" ca="1" si="36"/>
        <v>0</v>
      </c>
      <c r="AN103" s="208"/>
      <c r="AO103" s="208"/>
      <c r="AP103" s="119"/>
    </row>
    <row r="104" spans="1:42" s="38" customFormat="1" ht="15" hidden="1" customHeight="1" outlineLevel="1" x14ac:dyDescent="0.2">
      <c r="A104" s="215" t="str">
        <f t="shared" ca="1" si="33"/>
        <v/>
      </c>
      <c r="B104" s="40"/>
      <c r="C104" s="40"/>
      <c r="D104" s="40"/>
      <c r="E104" s="27"/>
      <c r="F104" s="40"/>
      <c r="G104" s="40"/>
      <c r="H104" s="40"/>
      <c r="I104" s="40"/>
      <c r="J104" s="27"/>
      <c r="K104" s="40"/>
      <c r="L104" s="27"/>
      <c r="M104" s="40"/>
      <c r="N104" s="40"/>
      <c r="O104" s="40"/>
      <c r="P104" s="40"/>
      <c r="Q104" s="27"/>
      <c r="R104" s="40"/>
      <c r="S104" s="27"/>
      <c r="T104" s="27"/>
      <c r="U104" s="40"/>
      <c r="V104" s="40"/>
      <c r="W104" s="40"/>
      <c r="X104" s="27"/>
      <c r="Y104" s="40"/>
      <c r="Z104" s="39"/>
      <c r="AA104" s="40"/>
      <c r="AB104" s="40"/>
      <c r="AC104" s="40"/>
      <c r="AD104" s="40"/>
      <c r="AE104" s="27"/>
      <c r="AF104" s="205" t="str">
        <f t="shared" ca="1" si="34"/>
        <v/>
      </c>
      <c r="AG104" s="233"/>
      <c r="AH104" s="238">
        <f t="shared" si="35"/>
        <v>0</v>
      </c>
      <c r="AI104" s="261"/>
      <c r="AJ104" s="224"/>
      <c r="AK104" s="245">
        <f ca="1">IF(EB.Anwendung&lt;&gt;"",IF(MONTH(Monat.Tag1)=1,0,IF(MONTH(Monat.Tag1)=2,January!Monat.P8UeVM,IF(MONTH(Monat.Tag1)=3,February!Monat.P8UeVM,IF(MONTH(Monat.Tag1)=4,March!Monat.P8UeVM,IF(MONTH(Monat.Tag1)=5,April!Monat.P8UeVM,IF(MONTH(Monat.Tag1)=6,May!Monat.P8UeVM,IF(MONTH(Monat.Tag1)=7,June!Monat.P8UeVM,IF(MONTH(Monat.Tag1)=8,July!Monat.P8UeVM,IF(MONTH(Monat.Tag1)=9,August!Monat.P8UeVM,IF(MONTH(Monat.Tag1)=10,September!Monat.P8UeVM,IF(MONTH(Monat.Tag1)=11,October!Monat.P8UeVM,IF(MONTH(Monat.Tag1)=12,November!Monat.P8UeVM,"")))))))))))),"")</f>
        <v>0</v>
      </c>
      <c r="AL104" s="209"/>
      <c r="AM104" s="246">
        <f t="shared" ca="1" si="36"/>
        <v>0</v>
      </c>
      <c r="AN104" s="208"/>
      <c r="AO104" s="208"/>
      <c r="AP104" s="119"/>
    </row>
    <row r="105" spans="1:42" s="38" customFormat="1" ht="15" hidden="1" customHeight="1" outlineLevel="1" x14ac:dyDescent="0.2">
      <c r="A105" s="215" t="str">
        <f t="shared" ca="1" si="33"/>
        <v/>
      </c>
      <c r="B105" s="40"/>
      <c r="C105" s="40"/>
      <c r="D105" s="40"/>
      <c r="E105" s="27"/>
      <c r="F105" s="40"/>
      <c r="G105" s="40"/>
      <c r="H105" s="40"/>
      <c r="I105" s="40"/>
      <c r="J105" s="27"/>
      <c r="K105" s="40"/>
      <c r="L105" s="27"/>
      <c r="M105" s="40"/>
      <c r="N105" s="40"/>
      <c r="O105" s="40"/>
      <c r="P105" s="40"/>
      <c r="Q105" s="27"/>
      <c r="R105" s="40"/>
      <c r="S105" s="27"/>
      <c r="T105" s="27"/>
      <c r="U105" s="40"/>
      <c r="V105" s="40"/>
      <c r="W105" s="40"/>
      <c r="X105" s="27"/>
      <c r="Y105" s="40"/>
      <c r="Z105" s="39"/>
      <c r="AA105" s="40"/>
      <c r="AB105" s="40"/>
      <c r="AC105" s="40"/>
      <c r="AD105" s="40"/>
      <c r="AE105" s="27"/>
      <c r="AF105" s="205" t="str">
        <f t="shared" ca="1" si="34"/>
        <v/>
      </c>
      <c r="AG105" s="218"/>
      <c r="AH105" s="238">
        <f t="shared" si="35"/>
        <v>0</v>
      </c>
      <c r="AI105" s="261"/>
      <c r="AJ105" s="224"/>
      <c r="AK105" s="245">
        <f ca="1">IF(EB.Anwendung&lt;&gt;"",IF(MONTH(Monat.Tag1)=1,0,IF(MONTH(Monat.Tag1)=2,January!Monat.P9UeVM,IF(MONTH(Monat.Tag1)=3,February!Monat.P9UeVM,IF(MONTH(Monat.Tag1)=4,March!Monat.P9UeVM,IF(MONTH(Monat.Tag1)=5,April!Monat.P9UeVM,IF(MONTH(Monat.Tag1)=6,May!Monat.P9UeVM,IF(MONTH(Monat.Tag1)=7,June!Monat.P9UeVM,IF(MONTH(Monat.Tag1)=8,July!Monat.P9UeVM,IF(MONTH(Monat.Tag1)=9,August!Monat.P9UeVM,IF(MONTH(Monat.Tag1)=10,September!Monat.P9UeVM,IF(MONTH(Monat.Tag1)=11,October!Monat.P9UeVM,IF(MONTH(Monat.Tag1)=12,November!Monat.P9UeVM,"")))))))))))),"")</f>
        <v>0</v>
      </c>
      <c r="AL105" s="209"/>
      <c r="AM105" s="246">
        <f t="shared" ca="1" si="36"/>
        <v>0</v>
      </c>
      <c r="AN105" s="208"/>
      <c r="AO105" s="208"/>
      <c r="AP105" s="119"/>
    </row>
    <row r="106" spans="1:42" s="38" customFormat="1" ht="15" hidden="1" customHeight="1" outlineLevel="1" x14ac:dyDescent="0.2">
      <c r="A106" s="215" t="str">
        <f t="shared" ca="1" si="33"/>
        <v/>
      </c>
      <c r="B106" s="40"/>
      <c r="C106" s="40"/>
      <c r="D106" s="40"/>
      <c r="E106" s="27"/>
      <c r="F106" s="40"/>
      <c r="G106" s="40"/>
      <c r="H106" s="40"/>
      <c r="I106" s="40"/>
      <c r="J106" s="27"/>
      <c r="K106" s="40"/>
      <c r="L106" s="27"/>
      <c r="M106" s="40"/>
      <c r="N106" s="40"/>
      <c r="O106" s="40"/>
      <c r="P106" s="40"/>
      <c r="Q106" s="27"/>
      <c r="R106" s="40"/>
      <c r="S106" s="27"/>
      <c r="T106" s="27"/>
      <c r="U106" s="40"/>
      <c r="V106" s="40"/>
      <c r="W106" s="40"/>
      <c r="X106" s="27"/>
      <c r="Y106" s="40"/>
      <c r="Z106" s="39"/>
      <c r="AA106" s="40"/>
      <c r="AB106" s="40"/>
      <c r="AC106" s="40"/>
      <c r="AD106" s="40"/>
      <c r="AE106" s="27"/>
      <c r="AF106" s="205" t="str">
        <f t="shared" ca="1" si="34"/>
        <v/>
      </c>
      <c r="AG106" s="218"/>
      <c r="AH106" s="238">
        <f t="shared" si="35"/>
        <v>0</v>
      </c>
      <c r="AI106" s="261"/>
      <c r="AJ106" s="224"/>
      <c r="AK106" s="245">
        <f ca="1">IF(EB.Anwendung&lt;&gt;"",IF(MONTH(Monat.Tag1)=1,0,IF(MONTH(Monat.Tag1)=2,January!Monat.P10UeVM,IF(MONTH(Monat.Tag1)=3,February!Monat.P10UeVM,IF(MONTH(Monat.Tag1)=4,March!Monat.P10UeVM,IF(MONTH(Monat.Tag1)=5,April!Monat.P10UeVM,IF(MONTH(Monat.Tag1)=6,May!Monat.P10UeVM,IF(MONTH(Monat.Tag1)=7,June!Monat.P10UeVM,IF(MONTH(Monat.Tag1)=8,July!Monat.P10UeVM,IF(MONTH(Monat.Tag1)=9,August!Monat.P10UeVM,IF(MONTH(Monat.Tag1)=10,September!Monat.P10UeVM,IF(MONTH(Monat.Tag1)=11,October!Monat.P10UeVM,IF(MONTH(Monat.Tag1)=12,November!Monat.P10UeVM,"")))))))))))),"")</f>
        <v>0</v>
      </c>
      <c r="AL106" s="209"/>
      <c r="AM106" s="246">
        <f t="shared" ca="1" si="36"/>
        <v>0</v>
      </c>
      <c r="AN106" s="208"/>
      <c r="AO106" s="208"/>
      <c r="AP106" s="119"/>
    </row>
    <row r="107" spans="1:42" s="38" customFormat="1" ht="15" hidden="1" customHeight="1" outlineLevel="1" x14ac:dyDescent="0.2">
      <c r="A107" s="215" t="str">
        <f t="shared" ca="1" si="33"/>
        <v/>
      </c>
      <c r="B107" s="40"/>
      <c r="C107" s="40"/>
      <c r="D107" s="40"/>
      <c r="E107" s="27"/>
      <c r="F107" s="40"/>
      <c r="G107" s="40"/>
      <c r="H107" s="40"/>
      <c r="I107" s="40"/>
      <c r="J107" s="27"/>
      <c r="K107" s="40"/>
      <c r="L107" s="27"/>
      <c r="M107" s="40"/>
      <c r="N107" s="40"/>
      <c r="O107" s="40"/>
      <c r="P107" s="40"/>
      <c r="Q107" s="27"/>
      <c r="R107" s="40"/>
      <c r="S107" s="27"/>
      <c r="T107" s="27"/>
      <c r="U107" s="40"/>
      <c r="V107" s="40"/>
      <c r="W107" s="40"/>
      <c r="X107" s="27"/>
      <c r="Y107" s="40"/>
      <c r="Z107" s="39"/>
      <c r="AA107" s="40"/>
      <c r="AB107" s="40"/>
      <c r="AC107" s="40"/>
      <c r="AD107" s="40"/>
      <c r="AE107" s="27"/>
      <c r="AF107" s="205" t="str">
        <f t="shared" ca="1" si="34"/>
        <v/>
      </c>
      <c r="AG107" s="233"/>
      <c r="AH107" s="238">
        <f t="shared" si="35"/>
        <v>0</v>
      </c>
      <c r="AI107" s="261"/>
      <c r="AJ107" s="224"/>
      <c r="AK107" s="245">
        <f ca="1">IF(EB.Anwendung&lt;&gt;"",IF(MONTH(Monat.Tag1)=1,0,IF(MONTH(Monat.Tag1)=2,January!Monat.P11UeVM,IF(MONTH(Monat.Tag1)=3,February!Monat.P11UeVM,IF(MONTH(Monat.Tag1)=4,March!Monat.P11UeVM,IF(MONTH(Monat.Tag1)=5,April!Monat.P11UeVM,IF(MONTH(Monat.Tag1)=6,May!Monat.P11UeVM,IF(MONTH(Monat.Tag1)=7,June!Monat.P11UeVM,IF(MONTH(Monat.Tag1)=8,July!Monat.P11UeVM,IF(MONTH(Monat.Tag1)=9,August!Monat.P11UeVM,IF(MONTH(Monat.Tag1)=10,September!Monat.P11UeVM,IF(MONTH(Monat.Tag1)=11,October!Monat.P11UeVM,IF(MONTH(Monat.Tag1)=12,November!Monat.P11UeVM,"")))))))))))),"")</f>
        <v>0</v>
      </c>
      <c r="AL107" s="209"/>
      <c r="AM107" s="246">
        <f t="shared" ca="1" si="36"/>
        <v>0</v>
      </c>
      <c r="AN107" s="287"/>
      <c r="AO107" s="287"/>
      <c r="AP107" s="119"/>
    </row>
    <row r="108" spans="1:42" s="49" customFormat="1" ht="15" hidden="1" customHeight="1" outlineLevel="1" x14ac:dyDescent="0.2">
      <c r="A108" s="215" t="str">
        <f t="shared" ca="1" si="33"/>
        <v/>
      </c>
      <c r="B108" s="40"/>
      <c r="C108" s="40"/>
      <c r="D108" s="40"/>
      <c r="E108" s="27"/>
      <c r="F108" s="40"/>
      <c r="G108" s="40"/>
      <c r="H108" s="40"/>
      <c r="I108" s="40"/>
      <c r="J108" s="27"/>
      <c r="K108" s="40"/>
      <c r="L108" s="27"/>
      <c r="M108" s="40"/>
      <c r="N108" s="40"/>
      <c r="O108" s="40"/>
      <c r="P108" s="40"/>
      <c r="Q108" s="27"/>
      <c r="R108" s="40"/>
      <c r="S108" s="27"/>
      <c r="T108" s="27"/>
      <c r="U108" s="40"/>
      <c r="V108" s="40"/>
      <c r="W108" s="40"/>
      <c r="X108" s="27"/>
      <c r="Y108" s="40"/>
      <c r="Z108" s="39"/>
      <c r="AA108" s="40"/>
      <c r="AB108" s="40"/>
      <c r="AC108" s="40"/>
      <c r="AD108" s="40"/>
      <c r="AE108" s="27"/>
      <c r="AF108" s="205" t="str">
        <f t="shared" ca="1" si="34"/>
        <v/>
      </c>
      <c r="AG108" s="233"/>
      <c r="AH108" s="238">
        <f t="shared" si="35"/>
        <v>0</v>
      </c>
      <c r="AI108" s="261"/>
      <c r="AJ108" s="224"/>
      <c r="AK108" s="245">
        <f ca="1">IF(EB.Anwendung&lt;&gt;"",IF(MONTH(Monat.Tag1)=1,0,IF(MONTH(Monat.Tag1)=2,January!Monat.P12UeVM,IF(MONTH(Monat.Tag1)=3,February!Monat.P12UeVM,IF(MONTH(Monat.Tag1)=4,March!Monat.P12UeVM,IF(MONTH(Monat.Tag1)=5,April!Monat.P12UeVM,IF(MONTH(Monat.Tag1)=6,May!Monat.P12UeVM,IF(MONTH(Monat.Tag1)=7,June!Monat.P12UeVM,IF(MONTH(Monat.Tag1)=8,July!Monat.P12UeVM,IF(MONTH(Monat.Tag1)=9,August!Monat.P12UeVM,IF(MONTH(Monat.Tag1)=10,September!Monat.P12UeVM,IF(MONTH(Monat.Tag1)=11,October!Monat.P12UeVM,IF(MONTH(Monat.Tag1)=12,November!Monat.P12UeVM,"")))))))))))),"")</f>
        <v>0</v>
      </c>
      <c r="AL108" s="209"/>
      <c r="AM108" s="246">
        <f t="shared" ca="1" si="36"/>
        <v>0</v>
      </c>
      <c r="AN108" s="287"/>
      <c r="AO108" s="287"/>
      <c r="AP108" s="288"/>
    </row>
    <row r="109" spans="1:42" s="49" customFormat="1" ht="15" hidden="1" customHeight="1" outlineLevel="1" x14ac:dyDescent="0.2">
      <c r="A109" s="215" t="str">
        <f t="shared" ca="1" si="33"/>
        <v/>
      </c>
      <c r="B109" s="40"/>
      <c r="C109" s="40"/>
      <c r="D109" s="40"/>
      <c r="E109" s="27"/>
      <c r="F109" s="40"/>
      <c r="G109" s="40"/>
      <c r="H109" s="40"/>
      <c r="I109" s="40"/>
      <c r="J109" s="27"/>
      <c r="K109" s="40"/>
      <c r="L109" s="27"/>
      <c r="M109" s="40"/>
      <c r="N109" s="40"/>
      <c r="O109" s="40"/>
      <c r="P109" s="40"/>
      <c r="Q109" s="27"/>
      <c r="R109" s="40"/>
      <c r="S109" s="27"/>
      <c r="T109" s="27"/>
      <c r="U109" s="40"/>
      <c r="V109" s="40"/>
      <c r="W109" s="40"/>
      <c r="X109" s="27"/>
      <c r="Y109" s="40"/>
      <c r="Z109" s="39"/>
      <c r="AA109" s="40"/>
      <c r="AB109" s="40"/>
      <c r="AC109" s="40"/>
      <c r="AD109" s="40"/>
      <c r="AE109" s="27"/>
      <c r="AF109" s="205" t="str">
        <f t="shared" ca="1" si="34"/>
        <v/>
      </c>
      <c r="AG109" s="218"/>
      <c r="AH109" s="238">
        <f t="shared" si="35"/>
        <v>0</v>
      </c>
      <c r="AI109" s="261"/>
      <c r="AJ109" s="224"/>
      <c r="AK109" s="245">
        <f ca="1">IF(EB.Anwendung&lt;&gt;"",IF(MONTH(Monat.Tag1)=1,0,IF(MONTH(Monat.Tag1)=2,January!Monat.P13UeVM,IF(MONTH(Monat.Tag1)=3,February!Monat.P13UeVM,IF(MONTH(Monat.Tag1)=4,March!Monat.P13UeVM,IF(MONTH(Monat.Tag1)=5,April!Monat.P13UeVM,IF(MONTH(Monat.Tag1)=6,May!Monat.P13UeVM,IF(MONTH(Monat.Tag1)=7,June!Monat.P13UeVM,IF(MONTH(Monat.Tag1)=8,July!Monat.P13UeVM,IF(MONTH(Monat.Tag1)=9,August!Monat.P13UeVM,IF(MONTH(Monat.Tag1)=10,September!Monat.P13UeVM,IF(MONTH(Monat.Tag1)=11,October!Monat.P13UeVM,IF(MONTH(Monat.Tag1)=12,November!Monat.P13UeVM,"")))))))))))),"")</f>
        <v>0</v>
      </c>
      <c r="AL109" s="209"/>
      <c r="AM109" s="246">
        <f t="shared" ca="1" si="36"/>
        <v>0</v>
      </c>
      <c r="AN109" s="287"/>
      <c r="AO109" s="287"/>
      <c r="AP109" s="288"/>
    </row>
    <row r="110" spans="1:42" ht="15" hidden="1" customHeight="1" outlineLevel="1" x14ac:dyDescent="0.2">
      <c r="A110" s="215" t="str">
        <f t="shared" ca="1" si="33"/>
        <v/>
      </c>
      <c r="B110" s="40"/>
      <c r="C110" s="40"/>
      <c r="D110" s="40"/>
      <c r="E110" s="27"/>
      <c r="F110" s="40"/>
      <c r="G110" s="40"/>
      <c r="H110" s="40"/>
      <c r="I110" s="40"/>
      <c r="J110" s="27"/>
      <c r="K110" s="40"/>
      <c r="L110" s="27"/>
      <c r="M110" s="40"/>
      <c r="N110" s="40"/>
      <c r="O110" s="40"/>
      <c r="P110" s="40"/>
      <c r="Q110" s="27"/>
      <c r="R110" s="40"/>
      <c r="S110" s="27"/>
      <c r="T110" s="27"/>
      <c r="U110" s="40"/>
      <c r="V110" s="40"/>
      <c r="W110" s="40"/>
      <c r="X110" s="27"/>
      <c r="Y110" s="40"/>
      <c r="Z110" s="39"/>
      <c r="AA110" s="40"/>
      <c r="AB110" s="40"/>
      <c r="AC110" s="40"/>
      <c r="AD110" s="40"/>
      <c r="AE110" s="27"/>
      <c r="AF110" s="205" t="str">
        <f t="shared" ca="1" si="34"/>
        <v/>
      </c>
      <c r="AG110" s="218"/>
      <c r="AH110" s="238">
        <f t="shared" si="35"/>
        <v>0</v>
      </c>
      <c r="AI110" s="261"/>
      <c r="AJ110" s="224"/>
      <c r="AK110" s="245">
        <f ca="1">IF(EB.Anwendung&lt;&gt;"",IF(MONTH(Monat.Tag1)=1,0,IF(MONTH(Monat.Tag1)=2,January!Monat.P14UeVM,IF(MONTH(Monat.Tag1)=3,February!Monat.P14UeVM,IF(MONTH(Monat.Tag1)=4,March!Monat.P14UeVM,IF(MONTH(Monat.Tag1)=5,April!Monat.P14UeVM,IF(MONTH(Monat.Tag1)=6,May!Monat.P14UeVM,IF(MONTH(Monat.Tag1)=7,June!Monat.P14UeVM,IF(MONTH(Monat.Tag1)=8,July!Monat.P14UeVM,IF(MONTH(Monat.Tag1)=9,August!Monat.P14UeVM,IF(MONTH(Monat.Tag1)=10,September!Monat.P14UeVM,IF(MONTH(Monat.Tag1)=11,October!Monat.P14UeVM,IF(MONTH(Monat.Tag1)=12,November!Monat.P14UeVM,"")))))))))))),"")</f>
        <v>0</v>
      </c>
      <c r="AL110" s="209"/>
      <c r="AM110" s="246">
        <f t="shared" ca="1" si="36"/>
        <v>0</v>
      </c>
      <c r="AN110" s="287"/>
      <c r="AO110" s="287"/>
      <c r="AP110" s="123"/>
    </row>
    <row r="111" spans="1:42" ht="15" hidden="1" customHeight="1" outlineLevel="1" x14ac:dyDescent="0.2">
      <c r="A111" s="215" t="str">
        <f t="shared" ca="1" si="33"/>
        <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7"/>
      <c r="AA111" s="40"/>
      <c r="AB111" s="40"/>
      <c r="AC111" s="40"/>
      <c r="AD111" s="40"/>
      <c r="AE111" s="40"/>
      <c r="AF111" s="205" t="str">
        <f t="shared" ca="1" si="34"/>
        <v/>
      </c>
      <c r="AG111" s="218"/>
      <c r="AH111" s="238">
        <f t="shared" si="35"/>
        <v>0</v>
      </c>
      <c r="AI111" s="261"/>
      <c r="AJ111" s="224"/>
      <c r="AK111" s="245">
        <f ca="1">IF(EB.Anwendung&lt;&gt;"",IF(MONTH(Monat.Tag1)=1,0,IF(MONTH(Monat.Tag1)=2,January!Monat.P15UeVM,IF(MONTH(Monat.Tag1)=3,February!Monat.P15UeVM,IF(MONTH(Monat.Tag1)=4,March!Monat.P15UeVM,IF(MONTH(Monat.Tag1)=5,April!Monat.P15UeVM,IF(MONTH(Monat.Tag1)=6,May!Monat.P15UeVM,IF(MONTH(Monat.Tag1)=7,June!Monat.P15UeVM,IF(MONTH(Monat.Tag1)=8,July!Monat.P15UeVM,IF(MONTH(Monat.Tag1)=9,August!Monat.P15UeVM,IF(MONTH(Monat.Tag1)=10,September!Monat.P15UeVM,IF(MONTH(Monat.Tag1)=11,October!Monat.P15UeVM,IF(MONTH(Monat.Tag1)=12,November!Monat.P15UeVM,"")))))))))))),"")</f>
        <v>0</v>
      </c>
      <c r="AL111" s="209"/>
      <c r="AM111" s="246">
        <f t="shared" ca="1" si="36"/>
        <v>0</v>
      </c>
      <c r="AN111" s="287"/>
      <c r="AO111" s="287"/>
      <c r="AP111" s="123"/>
    </row>
    <row r="112" spans="1:42" ht="15" customHeight="1" collapsed="1" x14ac:dyDescent="0.2">
      <c r="A112" s="215" t="s">
        <v>168</v>
      </c>
      <c r="B112" s="236">
        <f>SUM(B97:B111)</f>
        <v>0</v>
      </c>
      <c r="C112" s="236">
        <f t="shared" ref="C112:AE112" si="37">SUM(C97:C111)</f>
        <v>0</v>
      </c>
      <c r="D112" s="236">
        <f t="shared" si="37"/>
        <v>0</v>
      </c>
      <c r="E112" s="236">
        <f t="shared" si="37"/>
        <v>0</v>
      </c>
      <c r="F112" s="236">
        <f t="shared" si="37"/>
        <v>0</v>
      </c>
      <c r="G112" s="236">
        <f t="shared" si="37"/>
        <v>0</v>
      </c>
      <c r="H112" s="236">
        <f t="shared" si="37"/>
        <v>0</v>
      </c>
      <c r="I112" s="236">
        <f t="shared" si="37"/>
        <v>0</v>
      </c>
      <c r="J112" s="236">
        <f t="shared" si="37"/>
        <v>0</v>
      </c>
      <c r="K112" s="236">
        <f t="shared" si="37"/>
        <v>0</v>
      </c>
      <c r="L112" s="236">
        <f t="shared" si="37"/>
        <v>0</v>
      </c>
      <c r="M112" s="236">
        <f t="shared" si="37"/>
        <v>0</v>
      </c>
      <c r="N112" s="236">
        <f t="shared" si="37"/>
        <v>0</v>
      </c>
      <c r="O112" s="236">
        <f t="shared" si="37"/>
        <v>0</v>
      </c>
      <c r="P112" s="236">
        <f t="shared" si="37"/>
        <v>0</v>
      </c>
      <c r="Q112" s="236">
        <f t="shared" si="37"/>
        <v>0</v>
      </c>
      <c r="R112" s="236">
        <f t="shared" si="37"/>
        <v>0</v>
      </c>
      <c r="S112" s="236">
        <f t="shared" si="37"/>
        <v>0</v>
      </c>
      <c r="T112" s="236">
        <f t="shared" si="37"/>
        <v>0</v>
      </c>
      <c r="U112" s="236">
        <f t="shared" si="37"/>
        <v>0</v>
      </c>
      <c r="V112" s="236">
        <f t="shared" si="37"/>
        <v>0</v>
      </c>
      <c r="W112" s="236">
        <f t="shared" si="37"/>
        <v>0</v>
      </c>
      <c r="X112" s="236">
        <f t="shared" si="37"/>
        <v>0</v>
      </c>
      <c r="Y112" s="236">
        <f t="shared" si="37"/>
        <v>0</v>
      </c>
      <c r="Z112" s="236">
        <f t="shared" si="37"/>
        <v>0</v>
      </c>
      <c r="AA112" s="236">
        <f t="shared" si="37"/>
        <v>0</v>
      </c>
      <c r="AB112" s="236">
        <f t="shared" si="37"/>
        <v>0</v>
      </c>
      <c r="AC112" s="236">
        <f t="shared" si="37"/>
        <v>0</v>
      </c>
      <c r="AD112" s="236">
        <f t="shared" si="37"/>
        <v>0</v>
      </c>
      <c r="AE112" s="236">
        <f t="shared" si="37"/>
        <v>0</v>
      </c>
      <c r="AF112" s="217" t="str">
        <f t="shared" si="34"/>
        <v>Hours worked for projects</v>
      </c>
      <c r="AG112" s="218"/>
      <c r="AH112" s="238">
        <f t="shared" si="35"/>
        <v>0</v>
      </c>
      <c r="AI112" s="261"/>
      <c r="AJ112" s="224"/>
      <c r="AK112" s="245">
        <f ca="1">IF(EB.Anwendung&lt;&gt;"",IF(MONTH(Monat.Tag1)=1,0,IF(MONTH(Monat.Tag1)=2,January!Monat.PTotalUeVM,IF(MONTH(Monat.Tag1)=3,February!Monat.PTotalUeVM,IF(MONTH(Monat.Tag1)=4,March!Monat.PTotalUeVM,IF(MONTH(Monat.Tag1)=5,April!Monat.PTotalUeVM,IF(MONTH(Monat.Tag1)=6,May!Monat.PTotalUeVM,IF(MONTH(Monat.Tag1)=7,June!Monat.PTotalUeVM,IF(MONTH(Monat.Tag1)=8,July!Monat.PTotalUeVM,IF(MONTH(Monat.Tag1)=9,August!Monat.PTotalUeVM,IF(MONTH(Monat.Tag1)=10,September!Monat.PTotalUeVM,IF(MONTH(Monat.Tag1)=11,October!Monat.PTotalUeVM,IF(MONTH(Monat.Tag1)=12,November!Monat.PTotalUeVM,"")))))))))))),"")</f>
        <v>0</v>
      </c>
      <c r="AL112" s="209"/>
      <c r="AM112" s="246">
        <f t="shared" ca="1" si="36"/>
        <v>0</v>
      </c>
      <c r="AN112" s="289"/>
      <c r="AO112" s="289"/>
      <c r="AP112" s="123"/>
    </row>
    <row r="113" spans="1:42" s="38" customFormat="1" ht="11.25" customHeight="1" x14ac:dyDescent="0.2">
      <c r="A113" s="290"/>
      <c r="B113" s="226"/>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91"/>
      <c r="AG113" s="286"/>
      <c r="AH113" s="226"/>
      <c r="AI113" s="292"/>
      <c r="AJ113" s="226"/>
      <c r="AK113" s="226"/>
      <c r="AL113" s="226"/>
      <c r="AM113" s="130"/>
      <c r="AN113" s="226"/>
      <c r="AO113" s="226"/>
      <c r="AP113" s="119"/>
    </row>
    <row r="114" spans="1:42" s="38" customFormat="1" ht="15" hidden="1" customHeight="1" outlineLevel="1" x14ac:dyDescent="0.2">
      <c r="A114" s="215" t="s">
        <v>225</v>
      </c>
      <c r="B114" s="241">
        <f t="shared" ref="B114:AE114" si="38">ROUND(((B23+B45+B91)-SUMPRODUCT((B97:B111)*(EB.Projektart.Bereich=6)))*1440,0)/1440</f>
        <v>0</v>
      </c>
      <c r="C114" s="241">
        <f t="shared" si="38"/>
        <v>0</v>
      </c>
      <c r="D114" s="241">
        <f t="shared" si="38"/>
        <v>0</v>
      </c>
      <c r="E114" s="241">
        <f t="shared" si="38"/>
        <v>0</v>
      </c>
      <c r="F114" s="241">
        <f t="shared" si="38"/>
        <v>0</v>
      </c>
      <c r="G114" s="241">
        <f t="shared" si="38"/>
        <v>0</v>
      </c>
      <c r="H114" s="241">
        <f t="shared" si="38"/>
        <v>0</v>
      </c>
      <c r="I114" s="241">
        <f t="shared" si="38"/>
        <v>0</v>
      </c>
      <c r="J114" s="241">
        <f t="shared" si="38"/>
        <v>0</v>
      </c>
      <c r="K114" s="241">
        <f t="shared" si="38"/>
        <v>0</v>
      </c>
      <c r="L114" s="241">
        <f t="shared" si="38"/>
        <v>0</v>
      </c>
      <c r="M114" s="241">
        <f t="shared" si="38"/>
        <v>0</v>
      </c>
      <c r="N114" s="241">
        <f t="shared" si="38"/>
        <v>0</v>
      </c>
      <c r="O114" s="241">
        <f t="shared" si="38"/>
        <v>0</v>
      </c>
      <c r="P114" s="241">
        <f t="shared" si="38"/>
        <v>0</v>
      </c>
      <c r="Q114" s="241">
        <f t="shared" si="38"/>
        <v>0</v>
      </c>
      <c r="R114" s="241">
        <f t="shared" si="38"/>
        <v>0</v>
      </c>
      <c r="S114" s="241">
        <f t="shared" si="38"/>
        <v>0</v>
      </c>
      <c r="T114" s="241">
        <f t="shared" si="38"/>
        <v>0</v>
      </c>
      <c r="U114" s="241">
        <f t="shared" si="38"/>
        <v>0</v>
      </c>
      <c r="V114" s="241">
        <f t="shared" si="38"/>
        <v>0</v>
      </c>
      <c r="W114" s="241">
        <f t="shared" si="38"/>
        <v>0</v>
      </c>
      <c r="X114" s="241">
        <f t="shared" si="38"/>
        <v>0</v>
      </c>
      <c r="Y114" s="241">
        <f t="shared" si="38"/>
        <v>0</v>
      </c>
      <c r="Z114" s="241">
        <f t="shared" si="38"/>
        <v>0</v>
      </c>
      <c r="AA114" s="241">
        <f t="shared" si="38"/>
        <v>0</v>
      </c>
      <c r="AB114" s="241">
        <f t="shared" si="38"/>
        <v>0</v>
      </c>
      <c r="AC114" s="241">
        <f t="shared" si="38"/>
        <v>0</v>
      </c>
      <c r="AD114" s="241">
        <f t="shared" si="38"/>
        <v>0</v>
      </c>
      <c r="AE114" s="241">
        <f t="shared" si="38"/>
        <v>0</v>
      </c>
      <c r="AF114" s="217" t="str">
        <f t="shared" ref="AF114" si="39">A114</f>
        <v>Difference WH-Project type 6</v>
      </c>
      <c r="AG114" s="228"/>
      <c r="AH114" s="238">
        <f>SUM(B114:AE114)</f>
        <v>0</v>
      </c>
      <c r="AI114" s="261"/>
      <c r="AJ114" s="262"/>
      <c r="AK114" s="245">
        <f ca="1">IF(EB.Anwendung&lt;&gt;"",IF(MONTH(Monat.Tag1)=1,0,IF(MONTH(Monat.Tag1)=2,January!Monat.PDiffUeVM,IF(MONTH(Monat.Tag1)=3,February!Monat.PDiffUeVM,IF(MONTH(Monat.Tag1)=4,March!Monat.PDiffUeVM,IF(MONTH(Monat.Tag1)=5,April!Monat.PDiffUeVM,IF(MONTH(Monat.Tag1)=6,May!Monat.PDiffUeVM,IF(MONTH(Monat.Tag1)=7,June!Monat.PDiffUeVM,IF(MONTH(Monat.Tag1)=8,July!Monat.PDiffUeVM,IF(MONTH(Monat.Tag1)=9,August!Monat.PDiffUeVM,IF(MONTH(Monat.Tag1)=10,September!Monat.PDiffUeVM,IF(MONTH(Monat.Tag1)=11,October!Monat.PDiffUeVM,IF(MONTH(Monat.Tag1)=12,November!Monat.PDiffUeVM,"")))))))))))),"")</f>
        <v>0</v>
      </c>
      <c r="AL114" s="262"/>
      <c r="AM114" s="246">
        <f ca="1">AH114+AK114</f>
        <v>0</v>
      </c>
      <c r="AN114" s="262"/>
      <c r="AO114" s="262"/>
      <c r="AP114" s="119"/>
    </row>
    <row r="115" spans="1:42" ht="11.25" hidden="1" customHeight="1" outlineLevel="1" x14ac:dyDescent="0.2">
      <c r="A115" s="123"/>
      <c r="B115" s="293"/>
      <c r="C115" s="293"/>
      <c r="D115" s="293"/>
      <c r="E115" s="293"/>
      <c r="F115" s="293"/>
      <c r="G115" s="293"/>
      <c r="H115" s="293"/>
      <c r="I115" s="293"/>
      <c r="J115" s="294"/>
      <c r="K115" s="293"/>
      <c r="L115" s="293"/>
      <c r="M115" s="293"/>
      <c r="N115" s="293"/>
      <c r="O115" s="293"/>
      <c r="P115" s="293"/>
      <c r="Q115" s="293"/>
      <c r="R115" s="293"/>
      <c r="S115" s="293"/>
      <c r="T115" s="293"/>
      <c r="U115" s="293"/>
      <c r="V115" s="293"/>
      <c r="W115" s="293"/>
      <c r="X115" s="293"/>
      <c r="Y115" s="293"/>
      <c r="Z115" s="293"/>
      <c r="AA115" s="293"/>
      <c r="AB115" s="293"/>
      <c r="AC115" s="293"/>
      <c r="AD115" s="293"/>
      <c r="AE115" s="293"/>
      <c r="AF115" s="295"/>
      <c r="AG115" s="296"/>
      <c r="AH115" s="123"/>
      <c r="AI115" s="123"/>
      <c r="AJ115" s="123"/>
      <c r="AK115" s="123"/>
      <c r="AL115" s="123"/>
      <c r="AM115" s="297"/>
      <c r="AN115" s="123"/>
      <c r="AO115" s="123"/>
      <c r="AP115" s="123"/>
    </row>
    <row r="116" spans="1:42" ht="11.25" customHeight="1" collapsed="1" x14ac:dyDescent="0.2">
      <c r="A116" s="123"/>
      <c r="B116" s="293"/>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293"/>
      <c r="AA116" s="293"/>
      <c r="AB116" s="293"/>
      <c r="AC116" s="293"/>
      <c r="AD116" s="293"/>
      <c r="AE116" s="293"/>
      <c r="AF116" s="295"/>
      <c r="AG116" s="296"/>
      <c r="AH116" s="123"/>
      <c r="AI116" s="123"/>
      <c r="AJ116" s="123"/>
      <c r="AK116" s="123"/>
      <c r="AL116" s="123"/>
      <c r="AM116" s="297"/>
      <c r="AN116" s="123"/>
      <c r="AO116" s="123"/>
      <c r="AP116" s="123"/>
    </row>
    <row r="117" spans="1:42" ht="12" customHeight="1" x14ac:dyDescent="0.2">
      <c r="A117" s="123"/>
      <c r="B117" s="490" t="s">
        <v>226</v>
      </c>
      <c r="C117" s="490"/>
      <c r="D117" s="490"/>
      <c r="E117" s="490"/>
      <c r="F117" s="490"/>
      <c r="G117" s="490"/>
      <c r="H117" s="490"/>
      <c r="I117" s="490"/>
      <c r="J117" s="490"/>
      <c r="K117" s="490"/>
      <c r="L117" s="490"/>
      <c r="M117" s="490"/>
      <c r="N117" s="490"/>
      <c r="O117" s="490"/>
      <c r="P117" s="490"/>
      <c r="Q117" s="490"/>
      <c r="R117" s="298"/>
      <c r="S117" s="298"/>
      <c r="T117" s="298"/>
      <c r="U117" s="298"/>
      <c r="V117" s="298"/>
      <c r="W117" s="298"/>
      <c r="X117" s="298"/>
      <c r="Y117" s="298"/>
      <c r="Z117" s="298"/>
      <c r="AA117" s="298"/>
      <c r="AB117" s="298"/>
      <c r="AC117" s="298"/>
      <c r="AD117" s="298"/>
      <c r="AE117" s="298"/>
      <c r="AF117" s="299"/>
      <c r="AG117" s="300"/>
      <c r="AH117" s="298"/>
      <c r="AI117" s="298"/>
      <c r="AJ117" s="298"/>
      <c r="AK117" s="298"/>
      <c r="AL117" s="298"/>
      <c r="AM117" s="301"/>
      <c r="AN117" s="288"/>
      <c r="AO117" s="288"/>
      <c r="AP117" s="123"/>
    </row>
    <row r="118" spans="1:42" ht="11.25" customHeight="1" x14ac:dyDescent="0.2">
      <c r="A118" s="302"/>
      <c r="B118" s="302"/>
      <c r="C118" s="302"/>
      <c r="D118" s="302"/>
      <c r="E118" s="302"/>
      <c r="F118" s="302"/>
      <c r="G118" s="302"/>
      <c r="H118" s="302"/>
      <c r="I118" s="302"/>
      <c r="J118" s="302"/>
      <c r="K118" s="302"/>
      <c r="L118" s="302"/>
      <c r="M118" s="298"/>
      <c r="N118" s="298"/>
      <c r="O118" s="298"/>
      <c r="P118" s="298"/>
      <c r="Q118" s="298"/>
      <c r="R118" s="298"/>
      <c r="S118" s="298"/>
      <c r="T118" s="298"/>
      <c r="U118" s="298"/>
      <c r="V118" s="298"/>
      <c r="W118" s="298"/>
      <c r="X118" s="298"/>
      <c r="Y118" s="298"/>
      <c r="Z118" s="298"/>
      <c r="AA118" s="298"/>
      <c r="AB118" s="298"/>
      <c r="AC118" s="298"/>
      <c r="AD118" s="298"/>
      <c r="AE118" s="298"/>
      <c r="AF118" s="298"/>
      <c r="AG118" s="298"/>
      <c r="AH118" s="298"/>
      <c r="AI118" s="298"/>
      <c r="AJ118" s="298"/>
      <c r="AK118" s="298"/>
      <c r="AL118" s="298"/>
      <c r="AM118" s="298"/>
      <c r="AN118" s="298"/>
      <c r="AO118" s="298"/>
      <c r="AP118" s="123"/>
    </row>
    <row r="119" spans="1:42" ht="39" customHeight="1" x14ac:dyDescent="0.2">
      <c r="A119" s="135" t="s">
        <v>227</v>
      </c>
      <c r="B119" s="491"/>
      <c r="C119" s="491"/>
      <c r="D119" s="491"/>
      <c r="E119" s="491"/>
      <c r="F119" s="491"/>
      <c r="G119" s="491"/>
      <c r="H119" s="491"/>
      <c r="I119" s="491"/>
      <c r="J119" s="491"/>
      <c r="K119" s="491"/>
      <c r="L119" s="491"/>
      <c r="M119" s="491"/>
      <c r="N119" s="491"/>
      <c r="O119" s="491"/>
      <c r="P119" s="491"/>
      <c r="Q119" s="491"/>
      <c r="R119" s="298"/>
      <c r="S119" s="298"/>
      <c r="T119" s="298"/>
      <c r="U119" s="298"/>
      <c r="V119" s="298"/>
      <c r="W119" s="298"/>
      <c r="X119" s="298"/>
      <c r="Y119" s="492"/>
      <c r="Z119" s="492"/>
      <c r="AA119" s="492"/>
      <c r="AB119" s="492"/>
      <c r="AC119" s="492"/>
      <c r="AD119" s="492"/>
      <c r="AE119" s="492"/>
      <c r="AF119" s="494" t="str">
        <f ca="1">IF(AF67&lt;&gt;Monat.KomAZText,AF67 &amp; CHAR(10),"") &amp;
IF(AF84&lt;&gt;Monat.FerienText,AF84,"")</f>
        <v/>
      </c>
      <c r="AG119" s="494"/>
      <c r="AH119" s="494"/>
      <c r="AI119" s="494"/>
      <c r="AJ119" s="494"/>
      <c r="AK119" s="494"/>
      <c r="AL119" s="494"/>
      <c r="AM119" s="494"/>
      <c r="AN119" s="494"/>
      <c r="AO119" s="494"/>
      <c r="AP119" s="123"/>
    </row>
    <row r="120" spans="1:42" ht="12" customHeight="1" x14ac:dyDescent="0.2">
      <c r="A120" s="442" t="s">
        <v>228</v>
      </c>
      <c r="B120" s="495"/>
      <c r="C120" s="495"/>
      <c r="D120" s="495"/>
      <c r="E120" s="495"/>
      <c r="F120" s="495"/>
      <c r="G120" s="495"/>
      <c r="H120" s="495"/>
      <c r="I120" s="495"/>
      <c r="J120" s="495"/>
      <c r="K120" s="495"/>
      <c r="L120" s="495"/>
      <c r="M120" s="495"/>
      <c r="N120" s="495"/>
      <c r="O120" s="495"/>
      <c r="P120" s="495"/>
      <c r="Q120" s="495"/>
      <c r="R120" s="298"/>
      <c r="S120" s="298"/>
      <c r="T120" s="496" t="s">
        <v>234</v>
      </c>
      <c r="U120" s="496"/>
      <c r="V120" s="496"/>
      <c r="W120" s="496"/>
      <c r="X120" s="496"/>
      <c r="Y120" s="493"/>
      <c r="Z120" s="493"/>
      <c r="AA120" s="493"/>
      <c r="AB120" s="493"/>
      <c r="AC120" s="493"/>
      <c r="AD120" s="493"/>
      <c r="AE120" s="493"/>
      <c r="AF120" s="494"/>
      <c r="AG120" s="494"/>
      <c r="AH120" s="494"/>
      <c r="AI120" s="494"/>
      <c r="AJ120" s="494"/>
      <c r="AK120" s="494"/>
      <c r="AL120" s="494"/>
      <c r="AM120" s="494"/>
      <c r="AN120" s="494"/>
      <c r="AO120" s="494"/>
      <c r="AP120" s="123"/>
    </row>
    <row r="121" spans="1:42" ht="11.25" customHeight="1" x14ac:dyDescent="0.2">
      <c r="A121" s="304"/>
      <c r="B121" s="305"/>
      <c r="C121" s="305"/>
      <c r="D121" s="305"/>
      <c r="E121" s="305"/>
      <c r="F121" s="305"/>
      <c r="G121" s="305"/>
      <c r="H121" s="305"/>
      <c r="I121" s="305"/>
      <c r="J121" s="305"/>
      <c r="K121" s="305"/>
      <c r="L121" s="305"/>
      <c r="M121" s="293"/>
      <c r="N121" s="293"/>
      <c r="O121" s="293"/>
      <c r="P121" s="293"/>
      <c r="Q121" s="293"/>
      <c r="R121" s="293"/>
      <c r="S121" s="298"/>
      <c r="T121" s="293"/>
      <c r="U121" s="293"/>
      <c r="V121" s="293"/>
      <c r="W121" s="293"/>
      <c r="X121" s="293"/>
      <c r="Y121" s="293"/>
      <c r="Z121" s="293"/>
      <c r="AA121" s="293"/>
      <c r="AB121" s="293"/>
      <c r="AC121" s="293"/>
      <c r="AD121" s="293"/>
      <c r="AE121" s="293"/>
      <c r="AF121" s="295"/>
      <c r="AG121" s="296"/>
      <c r="AH121" s="123"/>
      <c r="AI121" s="123"/>
      <c r="AJ121" s="123"/>
      <c r="AK121" s="123"/>
      <c r="AL121" s="123"/>
      <c r="AM121" s="297"/>
      <c r="AN121" s="123"/>
      <c r="AO121" s="123"/>
      <c r="AP121" s="123"/>
    </row>
    <row r="122" spans="1:42" ht="12" customHeight="1" x14ac:dyDescent="0.2">
      <c r="A122" s="123"/>
      <c r="B122" s="482" t="s">
        <v>91</v>
      </c>
      <c r="C122" s="482"/>
      <c r="D122" s="482"/>
      <c r="E122" s="482"/>
      <c r="F122" s="482"/>
      <c r="G122" s="482"/>
      <c r="H122" s="482"/>
      <c r="I122" s="482"/>
      <c r="J122" s="482"/>
      <c r="K122" s="482"/>
      <c r="L122" s="482"/>
      <c r="M122" s="482"/>
      <c r="N122" s="482"/>
      <c r="O122" s="482"/>
      <c r="P122" s="482"/>
      <c r="Q122" s="482"/>
      <c r="R122" s="293"/>
      <c r="S122" s="293"/>
      <c r="T122" s="293"/>
      <c r="U122" s="293"/>
      <c r="V122" s="293"/>
      <c r="W122" s="293"/>
      <c r="X122" s="293"/>
      <c r="Y122" s="293"/>
      <c r="Z122" s="293"/>
      <c r="AA122" s="293"/>
      <c r="AB122" s="293"/>
      <c r="AC122" s="293"/>
      <c r="AD122" s="293"/>
      <c r="AE122" s="293"/>
      <c r="AF122" s="295"/>
      <c r="AG122" s="296"/>
      <c r="AH122" s="123"/>
      <c r="AI122" s="123"/>
      <c r="AJ122" s="123"/>
      <c r="AK122" s="123"/>
      <c r="AL122" s="123"/>
      <c r="AM122" s="297"/>
      <c r="AN122" s="123"/>
      <c r="AO122" s="123"/>
      <c r="AP122" s="123"/>
    </row>
    <row r="123" spans="1:42" ht="11.25" customHeight="1" x14ac:dyDescent="0.2">
      <c r="A123" s="123"/>
      <c r="B123" s="293"/>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293"/>
      <c r="Z123" s="293"/>
      <c r="AA123" s="293"/>
      <c r="AB123" s="293"/>
      <c r="AC123" s="293"/>
      <c r="AD123" s="293"/>
      <c r="AE123" s="293"/>
      <c r="AF123" s="295"/>
      <c r="AG123" s="296"/>
      <c r="AH123" s="123"/>
      <c r="AI123" s="123"/>
      <c r="AJ123" s="123"/>
      <c r="AK123" s="123"/>
      <c r="AL123" s="123"/>
      <c r="AM123" s="297"/>
      <c r="AN123" s="123"/>
      <c r="AO123" s="123"/>
      <c r="AP123" s="123"/>
    </row>
    <row r="124" spans="1:42" ht="11.25" customHeight="1" x14ac:dyDescent="0.2">
      <c r="A124" s="298"/>
      <c r="B124" s="298"/>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c r="AA124" s="298"/>
      <c r="AB124" s="298"/>
      <c r="AC124" s="298"/>
      <c r="AD124" s="298"/>
      <c r="AE124" s="298"/>
      <c r="AF124" s="298"/>
      <c r="AG124" s="298"/>
      <c r="AH124" s="298"/>
      <c r="AI124" s="298"/>
      <c r="AJ124" s="298"/>
      <c r="AK124" s="298"/>
      <c r="AL124" s="298"/>
      <c r="AM124" s="298"/>
      <c r="AN124" s="298"/>
      <c r="AO124" s="298"/>
      <c r="AP124" s="123"/>
    </row>
    <row r="125" spans="1:42" x14ac:dyDescent="0.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row>
    <row r="126" spans="1:42"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row>
    <row r="127" spans="1:42"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row>
    <row r="128" spans="1:42" x14ac:dyDescent="0.2">
      <c r="AF128" s="50"/>
      <c r="AG128" s="50"/>
      <c r="AM128" s="50"/>
    </row>
    <row r="129" spans="32:39" x14ac:dyDescent="0.2">
      <c r="AF129" s="50"/>
      <c r="AG129" s="50"/>
      <c r="AM129" s="50"/>
    </row>
    <row r="130" spans="32:39" x14ac:dyDescent="0.2">
      <c r="AF130" s="50"/>
      <c r="AG130" s="50"/>
      <c r="AM130" s="50"/>
    </row>
    <row r="131" spans="32:39" x14ac:dyDescent="0.2">
      <c r="AF131" s="50"/>
      <c r="AG131" s="50"/>
      <c r="AM131" s="50"/>
    </row>
    <row r="132" spans="32:39" x14ac:dyDescent="0.2">
      <c r="AF132" s="50"/>
      <c r="AG132" s="50"/>
      <c r="AM132" s="50"/>
    </row>
    <row r="133" spans="32:39" x14ac:dyDescent="0.2">
      <c r="AF133" s="50"/>
      <c r="AG133" s="50"/>
      <c r="AM133" s="50"/>
    </row>
    <row r="134" spans="32:39" x14ac:dyDescent="0.2">
      <c r="AF134" s="50"/>
      <c r="AG134" s="50"/>
      <c r="AM134" s="50"/>
    </row>
    <row r="135" spans="32:39" x14ac:dyDescent="0.2">
      <c r="AF135" s="50"/>
      <c r="AG135" s="50"/>
      <c r="AM135" s="50"/>
    </row>
    <row r="136" spans="32:39" x14ac:dyDescent="0.2">
      <c r="AF136" s="50"/>
      <c r="AG136" s="50"/>
      <c r="AM136" s="50"/>
    </row>
    <row r="137" spans="32:39" x14ac:dyDescent="0.2">
      <c r="AF137" s="50"/>
      <c r="AG137" s="50"/>
      <c r="AM137" s="50"/>
    </row>
    <row r="138" spans="32:39" x14ac:dyDescent="0.2">
      <c r="AF138" s="50"/>
      <c r="AG138" s="50"/>
      <c r="AM138" s="50"/>
    </row>
    <row r="139" spans="32:39" x14ac:dyDescent="0.2">
      <c r="AF139" s="50"/>
      <c r="AG139" s="50"/>
      <c r="AM139" s="50"/>
    </row>
    <row r="140" spans="32:39" x14ac:dyDescent="0.2">
      <c r="AF140" s="50"/>
      <c r="AG140" s="50"/>
      <c r="AM140" s="50"/>
    </row>
  </sheetData>
  <sheetProtection sheet="1" objects="1" scenarios="1"/>
  <mergeCells count="26">
    <mergeCell ref="B6:E6"/>
    <mergeCell ref="F6:N6"/>
    <mergeCell ref="B1:L1"/>
    <mergeCell ref="AN1:AO1"/>
    <mergeCell ref="B2:E2"/>
    <mergeCell ref="F2:N2"/>
    <mergeCell ref="P2:U2"/>
    <mergeCell ref="B3:E3"/>
    <mergeCell ref="F3:N3"/>
    <mergeCell ref="P3:U3"/>
    <mergeCell ref="B4:E4"/>
    <mergeCell ref="F4:N4"/>
    <mergeCell ref="P4:U4"/>
    <mergeCell ref="B5:E5"/>
    <mergeCell ref="F5:N5"/>
    <mergeCell ref="B122:Q122"/>
    <mergeCell ref="B7:E7"/>
    <mergeCell ref="F7:N7"/>
    <mergeCell ref="AG10:AH10"/>
    <mergeCell ref="AN10:AO10"/>
    <mergeCell ref="B117:Q117"/>
    <mergeCell ref="B119:Q119"/>
    <mergeCell ref="Y119:AE120"/>
    <mergeCell ref="AF119:AO120"/>
    <mergeCell ref="B120:Q120"/>
    <mergeCell ref="T120:X120"/>
  </mergeCells>
  <conditionalFormatting sqref="AH114 B114:AE114">
    <cfRule type="expression" dxfId="228" priority="13">
      <formula>ABS(B$114)&gt;=ROUND(1/24/60,9)</formula>
    </cfRule>
  </conditionalFormatting>
  <conditionalFormatting sqref="B13:AE22 B34:AE44 B25:AE30 B60:AE61 B67:AE67 B71:AE72 B84:AE84 B86:AE95 B97:AE111">
    <cfRule type="expression" dxfId="227" priority="11">
      <formula>WEEKDAY(B$10,2)&gt;5</formula>
    </cfRule>
    <cfRule type="expression" dxfId="226" priority="12">
      <formula>AND(NOT(ISERROR(MATCH(B$10,T.Feiertage.Bereich,0))),OFFSET(T.Feiertage.Bereich,MATCH(B$10,T.Feiertage.Bereich,0)-1,1,1,1)&gt;0)</formula>
    </cfRule>
    <cfRule type="expression" dxfId="225" priority="14">
      <formula>B$11=0</formula>
    </cfRule>
  </conditionalFormatting>
  <conditionalFormatting sqref="AM60:AN60">
    <cfRule type="expression" dxfId="224" priority="19">
      <formula>AND(T.50_Vetsuisse,AM60&gt;=T.GrenzeAngÜZ50_Vetsuisse)</formula>
    </cfRule>
    <cfRule type="expression" dxfId="223" priority="20">
      <formula>AND(T.50_Vetsuisse,AM60&gt;T.GrenzeAngÜZ50_Vetsuisse*T.AngÜZ50_Vetsuisse_orange)</formula>
    </cfRule>
  </conditionalFormatting>
  <conditionalFormatting sqref="B56:AE56">
    <cfRule type="expression" dxfId="222" priority="5">
      <formula>AND(B$10&gt;TODAY(),EB.UJAustritt="")</formula>
    </cfRule>
    <cfRule type="expression" dxfId="221" priority="6">
      <formula>B$56&gt;99.99/24</formula>
    </cfRule>
    <cfRule type="expression" dxfId="220" priority="8">
      <formula>B$56&lt;99.99/24*-1</formula>
    </cfRule>
  </conditionalFormatting>
  <conditionalFormatting sqref="AN55:AO55">
    <cfRule type="cellIs" dxfId="219" priority="21" operator="greaterThan">
      <formula>1/24/60</formula>
    </cfRule>
    <cfRule type="expression" dxfId="218" priority="22">
      <formula>AND(AN55&lt;=1/24/60*-1,TODAY()&gt;=DATE(EB.Jahr,MONTH(12),DAY(31)))</formula>
    </cfRule>
  </conditionalFormatting>
  <conditionalFormatting sqref="AH58 B56:AE56">
    <cfRule type="expression" dxfId="217" priority="7">
      <formula>B$56&gt;1/24/60</formula>
    </cfRule>
    <cfRule type="expression" dxfId="216" priority="9">
      <formula>AND(B$56&lt;=1/24/60*-1,B$56)</formula>
    </cfRule>
  </conditionalFormatting>
  <conditionalFormatting sqref="B14:AE22 B36:AE44 B26:AE30">
    <cfRule type="expression" dxfId="215" priority="3">
      <formula>AND(B14&lt;B13,B14&lt;&gt;"")</formula>
    </cfRule>
  </conditionalFormatting>
  <conditionalFormatting sqref="B72:AE73">
    <cfRule type="expression" dxfId="214" priority="10">
      <formula>AND(T.50_Vetsuisse,OR(AND(B$72&lt;&gt;INDEX(T.JaNein.Bereich,1,1),B$72&lt;&gt;INDEX(T.JaNein.Bereich,2,1),B$73&lt;&gt;0,MOD(IFERROR(MATCH(1,B$13:B$22,0),1),2)=0),AND(B$72=INDEX(T.JaNein.Bereich,1,1),OR(B$73=0,MOD(IFERROR(MATCH(1,B$13:B$22,0),1),2)&lt;&gt;0))))</formula>
    </cfRule>
  </conditionalFormatting>
  <conditionalFormatting sqref="P4:U4">
    <cfRule type="expression" dxfId="213" priority="15">
      <formula>$P$4&lt;&gt;""</formula>
    </cfRule>
  </conditionalFormatting>
  <conditionalFormatting sqref="V4">
    <cfRule type="expression" dxfId="212" priority="16">
      <formula>$V$4&lt;&gt;""</formula>
    </cfRule>
  </conditionalFormatting>
  <conditionalFormatting sqref="AO60">
    <cfRule type="expression" dxfId="211" priority="23">
      <formula>AND(T.50_Vetsuisse,AO60&gt;=T.GrenzeAngÜZ50_Vetsuisse)</formula>
    </cfRule>
    <cfRule type="expression" dxfId="210" priority="24">
      <formula>AND(T.50_Vetsuisse,AO60&gt;T.GrenzeAngÜZ50_Vetsuisse*T.AngÜZ50_Vetsuisse_orange)</formula>
    </cfRule>
  </conditionalFormatting>
  <conditionalFormatting sqref="AI72:AI73">
    <cfRule type="expression" dxfId="209" priority="17">
      <formula>AND(T.50_Vetsuisse,$AI$72&lt;&gt;$AI$73)</formula>
    </cfRule>
    <cfRule type="expression" dxfId="208" priority="18">
      <formula>$AI$72&gt;$AI$73</formula>
    </cfRule>
  </conditionalFormatting>
  <conditionalFormatting sqref="B55:AE55">
    <cfRule type="expression" dxfId="207" priority="4">
      <formula>AND(B$10&lt;=TODAY(),B$55&lt;1/24/60*-1)</formula>
    </cfRule>
  </conditionalFormatting>
  <conditionalFormatting sqref="AF67 AF84">
    <cfRule type="expression" dxfId="206" priority="2">
      <formula>AF67&lt;&gt;A67</formula>
    </cfRule>
  </conditionalFormatting>
  <conditionalFormatting sqref="B67:AE67">
    <cfRule type="expression" dxfId="205" priority="1">
      <formula>AND(B66=0,B67&gt;0)</formula>
    </cfRule>
  </conditionalFormatting>
  <dataValidations count="2">
    <dataValidation type="list" allowBlank="1" showInputMessage="1" showErrorMessage="1" errorTitle="Start pl. night shift" error="Please choose a value from the drop-down list." sqref="B72:AE72" xr:uid="{45CA3635-8535-41CA-9661-69A0DFDB6244}">
      <formula1>T.JaNein.Bereich</formula1>
    </dataValidation>
    <dataValidation type="list" allowBlank="1" showInputMessage="1" showErrorMessage="1" errorTitle="Pikett Bereitschaft" error="Bitte wählen Sie einen Wert aus der Liste." sqref="B34:AE34" xr:uid="{9A338387-B62B-43E4-9016-FDE46B31AC69}">
      <formula1>T.Pikett.Bereich</formula1>
    </dataValidation>
  </dataValidations>
  <printOptions horizontalCentered="1"/>
  <pageMargins left="0.19685039370078741" right="0.19685039370078741" top="0.39370078740157483" bottom="0.39370078740157483" header="0.31496062992125984" footer="0.19685039370078741"/>
  <pageSetup paperSize="9" scale="30" orientation="landscape" horizontalDpi="4294967292" verticalDpi="4294967292" r:id="rId1"/>
  <headerFooter alignWithMargins="0">
    <oddFooter>&amp;L&amp;"Arial,Standard"&amp;11Monatsabrechnung &amp;A&amp;C&amp;"Arial,Standard"&amp;11&amp;D&amp;R&amp;"Arial,Standard"&amp;11&amp;P /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5F882-BB46-46BF-8AF5-DA18B65E2A55}">
  <sheetPr>
    <pageSetUpPr fitToPage="1"/>
  </sheetPr>
  <dimension ref="A1:AQ140"/>
  <sheetViews>
    <sheetView showGridLines="0" zoomScale="85" zoomScaleNormal="85" zoomScalePageLayoutView="85" workbookViewId="0">
      <pane xSplit="1" ySplit="10" topLeftCell="B11" activePane="bottomRight" state="frozenSplit"/>
      <selection activeCell="Q8" sqref="Q8:AF11"/>
      <selection pane="topRight" activeCell="Q8" sqref="Q8:AF11"/>
      <selection pane="bottomLeft" activeCell="Q8" sqref="Q8:AF11"/>
      <selection pane="bottomRight" activeCell="B13" sqref="B13"/>
    </sheetView>
  </sheetViews>
  <sheetFormatPr baseColWidth="10" defaultColWidth="10.75" defaultRowHeight="12.75" outlineLevelRow="1" outlineLevelCol="1" x14ac:dyDescent="0.2"/>
  <cols>
    <col min="1" max="1" width="24.5" style="50" customWidth="1"/>
    <col min="2" max="32" width="5.75" style="50" customWidth="1"/>
    <col min="33" max="33" width="24.5" style="52" customWidth="1"/>
    <col min="34" max="34" width="2.125" style="53" customWidth="1"/>
    <col min="35" max="36" width="8.125" style="50" customWidth="1"/>
    <col min="37" max="37" width="15.875" style="50" hidden="1" customWidth="1" outlineLevel="1"/>
    <col min="38" max="39" width="14.25" style="50" hidden="1" customWidth="1" outlineLevel="1"/>
    <col min="40" max="40" width="9.375" style="37" customWidth="1" collapsed="1"/>
    <col min="41" max="42" width="8.125" style="50" customWidth="1"/>
    <col min="43" max="43" width="3.75" style="50" customWidth="1"/>
    <col min="44" max="16384" width="10.75" style="50"/>
  </cols>
  <sheetData>
    <row r="1" spans="1:43" s="54" customFormat="1" ht="22.5" customHeight="1" x14ac:dyDescent="0.2">
      <c r="A1" s="181" t="str">
        <f>INDEX(EB.Monate.Bereich,MONTH(Monat.Tag1)) &amp; " " &amp; EB.Jahr</f>
        <v>May 2020</v>
      </c>
      <c r="B1" s="470" t="str">
        <f>Eingabeblatt!B1</f>
        <v>Employee Time Sheet</v>
      </c>
      <c r="C1" s="470"/>
      <c r="D1" s="470"/>
      <c r="E1" s="470"/>
      <c r="F1" s="470"/>
      <c r="G1" s="470"/>
      <c r="H1" s="470"/>
      <c r="I1" s="470"/>
      <c r="J1" s="470"/>
      <c r="K1" s="470"/>
      <c r="L1" s="470"/>
      <c r="M1" s="101"/>
      <c r="N1" s="101"/>
      <c r="O1" s="101"/>
      <c r="P1" s="101"/>
      <c r="Q1" s="101"/>
      <c r="R1" s="182"/>
      <c r="S1" s="101"/>
      <c r="T1" s="101"/>
      <c r="U1" s="101"/>
      <c r="V1" s="183"/>
      <c r="W1" s="183"/>
      <c r="X1" s="101"/>
      <c r="Y1" s="182"/>
      <c r="Z1" s="101"/>
      <c r="AA1" s="101"/>
      <c r="AB1" s="101"/>
      <c r="AC1" s="101"/>
      <c r="AD1" s="101"/>
      <c r="AE1" s="101"/>
      <c r="AF1" s="101"/>
      <c r="AG1" s="184"/>
      <c r="AH1" s="185"/>
      <c r="AI1" s="101"/>
      <c r="AJ1" s="101"/>
      <c r="AK1" s="101"/>
      <c r="AL1" s="101"/>
      <c r="AM1" s="101"/>
      <c r="AN1" s="440"/>
      <c r="AO1" s="498" t="str">
        <f>EB.Version</f>
        <v>Version 12.19</v>
      </c>
      <c r="AP1" s="498"/>
      <c r="AQ1" s="103" t="str">
        <f>EB.Sprache</f>
        <v>EN</v>
      </c>
    </row>
    <row r="2" spans="1:43" s="38" customFormat="1" ht="15" customHeight="1" x14ac:dyDescent="0.2">
      <c r="A2" s="135"/>
      <c r="B2" s="461" t="str">
        <f>Eingabeblatt!A3</f>
        <v>Name</v>
      </c>
      <c r="C2" s="474"/>
      <c r="D2" s="474"/>
      <c r="E2" s="462"/>
      <c r="F2" s="499" t="str">
        <f>IF(EB.Name="","?",EB.Name)</f>
        <v>?</v>
      </c>
      <c r="G2" s="500"/>
      <c r="H2" s="500"/>
      <c r="I2" s="500"/>
      <c r="J2" s="500"/>
      <c r="K2" s="500"/>
      <c r="L2" s="500"/>
      <c r="M2" s="500"/>
      <c r="N2" s="501"/>
      <c r="O2" s="186"/>
      <c r="P2" s="461" t="str">
        <f>Eingabeblatt!J7</f>
        <v>Employment Level (FTE) in %</v>
      </c>
      <c r="Q2" s="474"/>
      <c r="R2" s="474"/>
      <c r="S2" s="474"/>
      <c r="T2" s="474"/>
      <c r="U2" s="462"/>
      <c r="V2" s="14">
        <f>IF(INDEX(EB.EffBG.Bereich,MONTH(Monat.Tag1))="","-     ",INDEX(EB.EffBG.Bereich,MONTH(Monat.Tag1)))</f>
        <v>100</v>
      </c>
      <c r="W2" s="187"/>
      <c r="X2" s="187"/>
      <c r="Y2" s="108"/>
      <c r="Z2" s="119"/>
      <c r="AA2" s="119"/>
      <c r="AB2" s="119"/>
      <c r="AC2" s="119"/>
      <c r="AD2" s="119"/>
      <c r="AE2" s="119"/>
      <c r="AF2" s="119"/>
      <c r="AG2" s="106"/>
      <c r="AH2" s="188"/>
      <c r="AI2" s="119"/>
      <c r="AJ2" s="119"/>
      <c r="AK2" s="119"/>
      <c r="AL2" s="119"/>
      <c r="AM2" s="119"/>
      <c r="AN2" s="189"/>
      <c r="AO2" s="119"/>
      <c r="AP2" s="119"/>
      <c r="AQ2" s="119"/>
    </row>
    <row r="3" spans="1:43" s="38" customFormat="1" ht="15" customHeight="1" x14ac:dyDescent="0.2">
      <c r="A3" s="190"/>
      <c r="B3" s="461" t="str">
        <f>Eingabeblatt!H2</f>
        <v>Function</v>
      </c>
      <c r="C3" s="474"/>
      <c r="D3" s="474"/>
      <c r="E3" s="462"/>
      <c r="F3" s="483" t="str">
        <f>EB.Funktion</f>
        <v>Description of Function</v>
      </c>
      <c r="G3" s="484"/>
      <c r="H3" s="484"/>
      <c r="I3" s="484"/>
      <c r="J3" s="484"/>
      <c r="K3" s="484"/>
      <c r="L3" s="484"/>
      <c r="M3" s="484"/>
      <c r="N3" s="485"/>
      <c r="O3" s="106"/>
      <c r="P3" s="461" t="str">
        <f>Eingabeblatt!J12</f>
        <v>ø Hours per day at FTE</v>
      </c>
      <c r="Q3" s="474"/>
      <c r="R3" s="474"/>
      <c r="S3" s="474"/>
      <c r="T3" s="474"/>
      <c r="U3" s="462"/>
      <c r="V3" s="57">
        <f>IF(INDEX(EB.DurchSollTAZStd.Bereich,MONTH(Monat.Tag1))="","-     ",INDEX(EB.DurchSollTAZStd.Bereich,MONTH(Monat.Tag1)))</f>
        <v>0.35</v>
      </c>
      <c r="W3" s="191"/>
      <c r="X3" s="191"/>
      <c r="Y3" s="119"/>
      <c r="Z3" s="119"/>
      <c r="AA3" s="119"/>
      <c r="AB3" s="119"/>
      <c r="AC3" s="119"/>
      <c r="AD3" s="119"/>
      <c r="AE3" s="119"/>
      <c r="AF3" s="119"/>
      <c r="AG3" s="106"/>
      <c r="AH3" s="188"/>
      <c r="AI3" s="119"/>
      <c r="AJ3" s="119"/>
      <c r="AK3" s="119"/>
      <c r="AL3" s="119"/>
      <c r="AM3" s="119"/>
      <c r="AN3" s="189"/>
      <c r="AO3" s="119"/>
      <c r="AP3" s="119"/>
      <c r="AQ3" s="119"/>
    </row>
    <row r="4" spans="1:43" s="38" customFormat="1" ht="15" customHeight="1" x14ac:dyDescent="0.2">
      <c r="A4" s="190"/>
      <c r="B4" s="461" t="str">
        <f>Eingabeblatt!H3</f>
        <v>Institute/Department</v>
      </c>
      <c r="C4" s="474"/>
      <c r="D4" s="474"/>
      <c r="E4" s="462"/>
      <c r="F4" s="483" t="str">
        <f>EB.Institut</f>
        <v>Institute/Department Name</v>
      </c>
      <c r="G4" s="484"/>
      <c r="H4" s="484"/>
      <c r="I4" s="484"/>
      <c r="J4" s="484"/>
      <c r="K4" s="484"/>
      <c r="L4" s="484"/>
      <c r="M4" s="484"/>
      <c r="N4" s="485"/>
      <c r="O4" s="106"/>
      <c r="P4" s="497" t="str">
        <f ca="1">IF(EB.ÜZZSBerechtigt=INDEX(T.JaNein.Bereich,1,1),IF(AND(OR(AND(EB.LKgr16=INDEX(T.JaNein.Bereich,1,1),EB.LKgr16ab&gt;EOMONTH(Monat.Tag1,0)),EB.LKgr16&lt;&gt;INDEX(T.JaNein.Bereich,1,1)),Monat.AZSoll.Total&gt;0),Eingabeblatt!J6,""),"")</f>
        <v/>
      </c>
      <c r="Q4" s="497"/>
      <c r="R4" s="497"/>
      <c r="S4" s="497"/>
      <c r="T4" s="497"/>
      <c r="U4" s="497"/>
      <c r="V4" s="192" t="str">
        <f ca="1">IF(P4&lt;&gt;"",EB.ÜZZSBerechtigt,"")</f>
        <v/>
      </c>
      <c r="W4" s="119"/>
      <c r="X4" s="119"/>
      <c r="Y4" s="119"/>
      <c r="Z4" s="119"/>
      <c r="AA4" s="119"/>
      <c r="AB4" s="119"/>
      <c r="AC4" s="119"/>
      <c r="AD4" s="119"/>
      <c r="AE4" s="119"/>
      <c r="AF4" s="119"/>
      <c r="AG4" s="106"/>
      <c r="AH4" s="188"/>
      <c r="AI4" s="119"/>
      <c r="AJ4" s="119"/>
      <c r="AK4" s="119"/>
      <c r="AL4" s="119"/>
      <c r="AM4" s="119"/>
      <c r="AN4" s="189"/>
      <c r="AO4" s="119"/>
      <c r="AP4" s="119"/>
      <c r="AQ4" s="119"/>
    </row>
    <row r="5" spans="1:43" s="38" customFormat="1" ht="15" customHeight="1" x14ac:dyDescent="0.2">
      <c r="A5" s="190"/>
      <c r="B5" s="461" t="str">
        <f>Eingabeblatt!A5</f>
        <v>Employee Number</v>
      </c>
      <c r="C5" s="474"/>
      <c r="D5" s="474"/>
      <c r="E5" s="462"/>
      <c r="F5" s="483" t="str">
        <f>IF(EB.Personalnummer="","?",EB.Personalnummer)</f>
        <v>?</v>
      </c>
      <c r="G5" s="484"/>
      <c r="H5" s="484"/>
      <c r="I5" s="484"/>
      <c r="J5" s="484"/>
      <c r="K5" s="484"/>
      <c r="L5" s="484"/>
      <c r="M5" s="484"/>
      <c r="N5" s="485"/>
      <c r="O5" s="106"/>
      <c r="P5" s="110" t="str">
        <f>LEFT(Eingabeblatt!A38,SEARCH("(",Eingabeblatt!A38,1)-2) &amp; IF(MONTH(Monat.Tag1)&gt;1,IF(EB.Sprache="EN"," (changes as of "," (Veränderungen ab ") &amp; INDEX(EB.Monate.Bereich,MONTH(Monat.Tag1))  &amp; IF(EB.Sprache="EN"," have to be entered here)"," hier eintragen)"),"")</f>
        <v>Standard working hours (changes as of May have to be entered here)</v>
      </c>
      <c r="Q5" s="106"/>
      <c r="R5" s="119"/>
      <c r="S5" s="119"/>
      <c r="T5" s="119"/>
      <c r="U5" s="119"/>
      <c r="V5" s="119"/>
      <c r="W5" s="119"/>
      <c r="X5" s="119"/>
      <c r="Y5" s="119"/>
      <c r="Z5" s="119"/>
      <c r="AA5" s="119"/>
      <c r="AB5" s="119"/>
      <c r="AC5" s="119"/>
      <c r="AD5" s="119"/>
      <c r="AE5" s="119"/>
      <c r="AF5" s="119" t="s">
        <v>4</v>
      </c>
      <c r="AG5" s="106"/>
      <c r="AH5" s="188"/>
      <c r="AI5" s="119"/>
      <c r="AJ5" s="119"/>
      <c r="AK5" s="119"/>
      <c r="AL5" s="119"/>
      <c r="AM5" s="119"/>
      <c r="AN5" s="189"/>
      <c r="AO5" s="119"/>
      <c r="AP5" s="119"/>
      <c r="AQ5" s="119"/>
    </row>
    <row r="6" spans="1:43" s="38" customFormat="1" ht="15" customHeight="1" x14ac:dyDescent="0.2">
      <c r="A6" s="190"/>
      <c r="B6" s="461" t="str">
        <f>Eingabeblatt!H4</f>
        <v>Faculty</v>
      </c>
      <c r="C6" s="474"/>
      <c r="D6" s="474"/>
      <c r="E6" s="462"/>
      <c r="F6" s="483" t="str">
        <f>EB.Fakultaet</f>
        <v>Select Faculty</v>
      </c>
      <c r="G6" s="484"/>
      <c r="H6" s="484"/>
      <c r="I6" s="484"/>
      <c r="J6" s="484"/>
      <c r="K6" s="484"/>
      <c r="L6" s="484"/>
      <c r="M6" s="484"/>
      <c r="N6" s="485"/>
      <c r="O6" s="106"/>
      <c r="P6" s="193" t="str">
        <f>LEFT(INDEX(EB.RAZ_Wochentage.Bereich,1),2)</f>
        <v>Mo</v>
      </c>
      <c r="Q6" s="193" t="str">
        <f>LEFT(INDEX(EB.RAZ_Wochentage.Bereich,2),2)</f>
        <v>Tu</v>
      </c>
      <c r="R6" s="193" t="str">
        <f>LEFT(INDEX(EB.RAZ_Wochentage.Bereich,3),2)</f>
        <v>We</v>
      </c>
      <c r="S6" s="193" t="str">
        <f>LEFT(INDEX(EB.RAZ_Wochentage.Bereich,4),2)</f>
        <v>Th</v>
      </c>
      <c r="T6" s="193" t="str">
        <f>LEFT(INDEX(EB.RAZ_Wochentage.Bereich,5),2)</f>
        <v>Fr</v>
      </c>
      <c r="U6" s="193" t="str">
        <f>LEFT(INDEX(EB.RAZ_Wochentage.Bereich,6),2)</f>
        <v>Sa</v>
      </c>
      <c r="V6" s="193" t="str">
        <f>LEFT(INDEX(EB.RAZ_Wochentage.Bereich,7),2)</f>
        <v>Su</v>
      </c>
      <c r="W6" s="119"/>
      <c r="X6" s="119"/>
      <c r="Y6" s="119"/>
      <c r="Z6" s="119"/>
      <c r="AA6" s="119"/>
      <c r="AB6" s="119"/>
      <c r="AC6" s="119"/>
      <c r="AD6" s="119"/>
      <c r="AE6" s="119"/>
      <c r="AF6" s="119"/>
      <c r="AG6" s="106"/>
      <c r="AH6" s="188"/>
      <c r="AI6" s="119"/>
      <c r="AJ6" s="119"/>
      <c r="AK6" s="119"/>
      <c r="AL6" s="119"/>
      <c r="AM6" s="119"/>
      <c r="AN6" s="189"/>
      <c r="AO6" s="119"/>
      <c r="AP6" s="119"/>
      <c r="AQ6" s="119"/>
    </row>
    <row r="7" spans="1:43" s="38" customFormat="1" ht="15" customHeight="1" x14ac:dyDescent="0.2">
      <c r="A7" s="190"/>
      <c r="B7" s="461" t="str">
        <f>Eingabeblatt!H5</f>
        <v>Employee Category</v>
      </c>
      <c r="C7" s="474"/>
      <c r="D7" s="474"/>
      <c r="E7" s="462"/>
      <c r="F7" s="483" t="str">
        <f>EB.Personalkategorie</f>
        <v>Select Employee Category</v>
      </c>
      <c r="G7" s="484"/>
      <c r="H7" s="484"/>
      <c r="I7" s="484"/>
      <c r="J7" s="484"/>
      <c r="K7" s="484"/>
      <c r="L7" s="484"/>
      <c r="M7" s="484"/>
      <c r="N7" s="485"/>
      <c r="O7" s="106"/>
      <c r="P7" s="194">
        <f ca="1">IF(EB.Anwendung&lt;&gt;"",IF(MONTH(Monat.Tag1)=1,INDEX(EB.RAZ1_7.Bereich,1),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1)),"")</f>
        <v>0.35</v>
      </c>
      <c r="Q7" s="194">
        <f ca="1">IF(EB.Anwendung&lt;&gt;"",IF(MONTH(Monat.Tag1)=1,INDEX(EB.RAZ1_7.Bereich,2),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2)),"")</f>
        <v>0.35</v>
      </c>
      <c r="R7" s="194">
        <f ca="1">IF(EB.Anwendung&lt;&gt;"",IF(MONTH(Monat.Tag1)=1,INDEX(EB.RAZ1_7.Bereich,3),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3)),"")</f>
        <v>0.35</v>
      </c>
      <c r="S7" s="194">
        <f ca="1">IF(EB.Anwendung&lt;&gt;"",IF(MONTH(Monat.Tag1)=1,INDEX(EB.RAZ1_7.Bereich,4),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4)),"")</f>
        <v>0.35</v>
      </c>
      <c r="T7" s="194">
        <f ca="1">IF(EB.Anwendung&lt;&gt;"",IF(MONTH(Monat.Tag1)=1,INDEX(EB.RAZ1_7.Bereich,5),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5)),"")</f>
        <v>0.35</v>
      </c>
      <c r="U7" s="194">
        <f ca="1">IF(EB.Anwendung&lt;&gt;"",IF(MONTH(Monat.Tag1)=1,INDEX(EB.RAZ1_7.Bereich,6),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6)),"")</f>
        <v>0</v>
      </c>
      <c r="V7" s="194">
        <f ca="1">IF(EB.Anwendung&lt;&gt;"",IF(MONTH(Monat.Tag1)=1,INDEX(EB.RAZ1_7.Bereich,7),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7)),"")</f>
        <v>0</v>
      </c>
      <c r="W7" s="354">
        <f ca="1">SUM(Monat.RAZ1_7.Bereich)</f>
        <v>1.75</v>
      </c>
      <c r="X7" s="119"/>
      <c r="Y7" s="119"/>
      <c r="Z7" s="119"/>
      <c r="AA7" s="119"/>
      <c r="AB7" s="119"/>
      <c r="AC7" s="119"/>
      <c r="AD7" s="119"/>
      <c r="AE7" s="119"/>
      <c r="AF7" s="119"/>
      <c r="AG7" s="106"/>
      <c r="AH7" s="188"/>
      <c r="AI7" s="119"/>
      <c r="AJ7" s="119"/>
      <c r="AK7" s="119"/>
      <c r="AL7" s="119"/>
      <c r="AM7" s="119"/>
      <c r="AN7" s="189"/>
      <c r="AO7" s="119"/>
      <c r="AP7" s="119"/>
      <c r="AQ7" s="119"/>
    </row>
    <row r="8" spans="1:43" s="38" customFormat="1" ht="11.25" customHeight="1" x14ac:dyDescent="0.2">
      <c r="A8" s="135"/>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06"/>
      <c r="AH8" s="188"/>
      <c r="AI8" s="119"/>
      <c r="AJ8" s="119"/>
      <c r="AK8" s="119"/>
      <c r="AL8" s="119"/>
      <c r="AM8" s="119"/>
      <c r="AN8" s="189"/>
      <c r="AO8" s="119"/>
      <c r="AP8" s="119"/>
      <c r="AQ8" s="119"/>
    </row>
    <row r="9" spans="1:43" s="38" customFormat="1" ht="15" customHeight="1" x14ac:dyDescent="0.2">
      <c r="A9" s="135"/>
      <c r="B9" s="195" t="str">
        <f t="shared" ref="B9:AF9" si="0">INDEX(Monat.Wochentage.Bereich,1,WEEKDAY(B10,2))</f>
        <v>Fr</v>
      </c>
      <c r="C9" s="195" t="str">
        <f t="shared" si="0"/>
        <v>Sa</v>
      </c>
      <c r="D9" s="195" t="str">
        <f t="shared" si="0"/>
        <v>Su</v>
      </c>
      <c r="E9" s="195" t="str">
        <f t="shared" si="0"/>
        <v>Mo</v>
      </c>
      <c r="F9" s="195" t="str">
        <f t="shared" si="0"/>
        <v>Tu</v>
      </c>
      <c r="G9" s="195" t="str">
        <f t="shared" si="0"/>
        <v>We</v>
      </c>
      <c r="H9" s="195" t="str">
        <f t="shared" si="0"/>
        <v>Th</v>
      </c>
      <c r="I9" s="195" t="str">
        <f t="shared" si="0"/>
        <v>Fr</v>
      </c>
      <c r="J9" s="195" t="str">
        <f t="shared" si="0"/>
        <v>Sa</v>
      </c>
      <c r="K9" s="195" t="str">
        <f t="shared" si="0"/>
        <v>Su</v>
      </c>
      <c r="L9" s="195" t="str">
        <f t="shared" si="0"/>
        <v>Mo</v>
      </c>
      <c r="M9" s="195" t="str">
        <f t="shared" si="0"/>
        <v>Tu</v>
      </c>
      <c r="N9" s="195" t="str">
        <f t="shared" si="0"/>
        <v>We</v>
      </c>
      <c r="O9" s="195" t="str">
        <f t="shared" si="0"/>
        <v>Th</v>
      </c>
      <c r="P9" s="195" t="str">
        <f t="shared" si="0"/>
        <v>Fr</v>
      </c>
      <c r="Q9" s="195" t="str">
        <f t="shared" si="0"/>
        <v>Sa</v>
      </c>
      <c r="R9" s="195" t="str">
        <f t="shared" si="0"/>
        <v>Su</v>
      </c>
      <c r="S9" s="195" t="str">
        <f t="shared" si="0"/>
        <v>Mo</v>
      </c>
      <c r="T9" s="195" t="str">
        <f t="shared" si="0"/>
        <v>Tu</v>
      </c>
      <c r="U9" s="195" t="str">
        <f t="shared" si="0"/>
        <v>We</v>
      </c>
      <c r="V9" s="195" t="str">
        <f t="shared" si="0"/>
        <v>Th</v>
      </c>
      <c r="W9" s="195" t="str">
        <f t="shared" si="0"/>
        <v>Fr</v>
      </c>
      <c r="X9" s="195" t="str">
        <f t="shared" si="0"/>
        <v>Sa</v>
      </c>
      <c r="Y9" s="195" t="str">
        <f t="shared" si="0"/>
        <v>Su</v>
      </c>
      <c r="Z9" s="195" t="str">
        <f t="shared" si="0"/>
        <v>Mo</v>
      </c>
      <c r="AA9" s="195" t="str">
        <f t="shared" si="0"/>
        <v>Tu</v>
      </c>
      <c r="AB9" s="195" t="str">
        <f t="shared" si="0"/>
        <v>We</v>
      </c>
      <c r="AC9" s="195" t="str">
        <f t="shared" si="0"/>
        <v>Th</v>
      </c>
      <c r="AD9" s="195" t="str">
        <f t="shared" si="0"/>
        <v>Fr</v>
      </c>
      <c r="AE9" s="195" t="str">
        <f t="shared" si="0"/>
        <v>Sa</v>
      </c>
      <c r="AF9" s="195" t="str">
        <f t="shared" si="0"/>
        <v>Su</v>
      </c>
      <c r="AG9" s="106"/>
      <c r="AH9" s="188"/>
      <c r="AI9" s="119"/>
      <c r="AJ9" s="119"/>
      <c r="AK9" s="119"/>
      <c r="AL9" s="119"/>
      <c r="AM9" s="119"/>
      <c r="AN9" s="189"/>
      <c r="AO9" s="119"/>
      <c r="AP9" s="119"/>
      <c r="AQ9" s="119"/>
    </row>
    <row r="10" spans="1:43" s="59" customFormat="1" ht="25.5" x14ac:dyDescent="0.2">
      <c r="A10" s="196" t="s">
        <v>73</v>
      </c>
      <c r="B10" s="197">
        <v>42490</v>
      </c>
      <c r="C10" s="197">
        <f>B10+1</f>
        <v>42491</v>
      </c>
      <c r="D10" s="197">
        <f t="shared" ref="D10:AF10" si="1">C10+1</f>
        <v>42492</v>
      </c>
      <c r="E10" s="197">
        <f t="shared" si="1"/>
        <v>42493</v>
      </c>
      <c r="F10" s="197">
        <f t="shared" si="1"/>
        <v>42494</v>
      </c>
      <c r="G10" s="197">
        <f t="shared" si="1"/>
        <v>42495</v>
      </c>
      <c r="H10" s="197">
        <f t="shared" si="1"/>
        <v>42496</v>
      </c>
      <c r="I10" s="197">
        <f t="shared" si="1"/>
        <v>42497</v>
      </c>
      <c r="J10" s="197">
        <f t="shared" si="1"/>
        <v>42498</v>
      </c>
      <c r="K10" s="197">
        <f t="shared" si="1"/>
        <v>42499</v>
      </c>
      <c r="L10" s="197">
        <f t="shared" si="1"/>
        <v>42500</v>
      </c>
      <c r="M10" s="197">
        <f t="shared" si="1"/>
        <v>42501</v>
      </c>
      <c r="N10" s="197">
        <f t="shared" si="1"/>
        <v>42502</v>
      </c>
      <c r="O10" s="197">
        <f t="shared" si="1"/>
        <v>42503</v>
      </c>
      <c r="P10" s="197">
        <f t="shared" si="1"/>
        <v>42504</v>
      </c>
      <c r="Q10" s="197">
        <f t="shared" si="1"/>
        <v>42505</v>
      </c>
      <c r="R10" s="197">
        <f t="shared" si="1"/>
        <v>42506</v>
      </c>
      <c r="S10" s="197">
        <f t="shared" si="1"/>
        <v>42507</v>
      </c>
      <c r="T10" s="197">
        <f t="shared" si="1"/>
        <v>42508</v>
      </c>
      <c r="U10" s="197">
        <f t="shared" si="1"/>
        <v>42509</v>
      </c>
      <c r="V10" s="197">
        <f t="shared" si="1"/>
        <v>42510</v>
      </c>
      <c r="W10" s="197">
        <f t="shared" si="1"/>
        <v>42511</v>
      </c>
      <c r="X10" s="197">
        <f t="shared" si="1"/>
        <v>42512</v>
      </c>
      <c r="Y10" s="197">
        <f t="shared" si="1"/>
        <v>42513</v>
      </c>
      <c r="Z10" s="197">
        <f t="shared" si="1"/>
        <v>42514</v>
      </c>
      <c r="AA10" s="197">
        <f t="shared" si="1"/>
        <v>42515</v>
      </c>
      <c r="AB10" s="197">
        <f t="shared" si="1"/>
        <v>42516</v>
      </c>
      <c r="AC10" s="197">
        <f t="shared" si="1"/>
        <v>42517</v>
      </c>
      <c r="AD10" s="197">
        <f t="shared" si="1"/>
        <v>42518</v>
      </c>
      <c r="AE10" s="197">
        <f t="shared" si="1"/>
        <v>42519</v>
      </c>
      <c r="AF10" s="197">
        <f t="shared" si="1"/>
        <v>42520</v>
      </c>
      <c r="AG10" s="198" t="str">
        <f t="shared" ref="AG10:AG56" si="2">A10</f>
        <v>Day</v>
      </c>
      <c r="AH10" s="486" t="str">
        <f>"Total " &amp; INDEX(EB.Monate.Bereich,MONTH(Monat.Tag1))</f>
        <v>Total May</v>
      </c>
      <c r="AI10" s="487"/>
      <c r="AJ10" s="441" t="s">
        <v>229</v>
      </c>
      <c r="AK10" s="199" t="s">
        <v>121</v>
      </c>
      <c r="AL10" s="199" t="s">
        <v>122</v>
      </c>
      <c r="AM10" s="199" t="s">
        <v>230</v>
      </c>
      <c r="AN10" s="200" t="s">
        <v>123</v>
      </c>
      <c r="AO10" s="488" t="str">
        <f ca="1">IF(EB.Sprache="DE","Jahressaldo per" &amp; CHAR(10) &amp; "    ME       " &amp; IFERROR(TEXT(TODAY(),"[$-0007]"&amp;"TT.MM.JJ"),TEXT(TODAY(),"[$-0007]"&amp;"DD.MM.YY")),
"Yearly balance by" &amp; CHAR(10) &amp; "   eom      " &amp; IFERROR(TEXT(TODAY(),"[$-0809]"&amp;"DD.MM.YY"),TEXT(TODAY(),"[$-0809]"&amp;"TT.MM.JJ")))</f>
        <v>Yearly balance by
   eom      14.12.19</v>
      </c>
      <c r="AP10" s="489"/>
      <c r="AQ10" s="201"/>
    </row>
    <row r="11" spans="1:43" s="59" customFormat="1" ht="12" hidden="1" customHeight="1" x14ac:dyDescent="0.2">
      <c r="A11" s="196" t="s">
        <v>163</v>
      </c>
      <c r="B11" s="202">
        <f t="shared" ref="B11:AF11" ca="1" si="3">IFERROR(OFFSET(T.Feiertage.Bereich,MATCH(B$10,T.Feiertage.Bereich,0)-1,1,1,1),1)</f>
        <v>0</v>
      </c>
      <c r="C11" s="202">
        <f t="shared" ca="1" si="3"/>
        <v>1</v>
      </c>
      <c r="D11" s="202">
        <f t="shared" ca="1" si="3"/>
        <v>1</v>
      </c>
      <c r="E11" s="203">
        <f t="shared" ca="1" si="3"/>
        <v>1</v>
      </c>
      <c r="F11" s="202">
        <f t="shared" ca="1" si="3"/>
        <v>1</v>
      </c>
      <c r="G11" s="202">
        <f t="shared" ca="1" si="3"/>
        <v>1</v>
      </c>
      <c r="H11" s="202">
        <f t="shared" ca="1" si="3"/>
        <v>1</v>
      </c>
      <c r="I11" s="202">
        <f t="shared" ca="1" si="3"/>
        <v>1</v>
      </c>
      <c r="J11" s="203">
        <f t="shared" ca="1" si="3"/>
        <v>1</v>
      </c>
      <c r="K11" s="202">
        <f t="shared" ca="1" si="3"/>
        <v>1</v>
      </c>
      <c r="L11" s="203">
        <f t="shared" ca="1" si="3"/>
        <v>1</v>
      </c>
      <c r="M11" s="202">
        <f t="shared" ca="1" si="3"/>
        <v>1</v>
      </c>
      <c r="N11" s="202">
        <f t="shared" ca="1" si="3"/>
        <v>1</v>
      </c>
      <c r="O11" s="202">
        <f t="shared" ca="1" si="3"/>
        <v>1</v>
      </c>
      <c r="P11" s="202">
        <f t="shared" ca="1" si="3"/>
        <v>1</v>
      </c>
      <c r="Q11" s="203">
        <f t="shared" ca="1" si="3"/>
        <v>1</v>
      </c>
      <c r="R11" s="202">
        <f t="shared" ca="1" si="3"/>
        <v>1</v>
      </c>
      <c r="S11" s="203">
        <f t="shared" ca="1" si="3"/>
        <v>1</v>
      </c>
      <c r="T11" s="203">
        <f t="shared" ca="1" si="3"/>
        <v>1</v>
      </c>
      <c r="U11" s="202">
        <f t="shared" ca="1" si="3"/>
        <v>0.7142857142857143</v>
      </c>
      <c r="V11" s="202">
        <f t="shared" ca="1" si="3"/>
        <v>0</v>
      </c>
      <c r="W11" s="202">
        <f t="shared" ca="1" si="3"/>
        <v>1</v>
      </c>
      <c r="X11" s="203">
        <f t="shared" ca="1" si="3"/>
        <v>1</v>
      </c>
      <c r="Y11" s="202">
        <f t="shared" ca="1" si="3"/>
        <v>1</v>
      </c>
      <c r="Z11" s="204">
        <f t="shared" ca="1" si="3"/>
        <v>1</v>
      </c>
      <c r="AA11" s="202">
        <f t="shared" ca="1" si="3"/>
        <v>1</v>
      </c>
      <c r="AB11" s="202">
        <f t="shared" ca="1" si="3"/>
        <v>1</v>
      </c>
      <c r="AC11" s="202">
        <f t="shared" ca="1" si="3"/>
        <v>1</v>
      </c>
      <c r="AD11" s="202">
        <f t="shared" ca="1" si="3"/>
        <v>1</v>
      </c>
      <c r="AE11" s="203">
        <f t="shared" ca="1" si="3"/>
        <v>1</v>
      </c>
      <c r="AF11" s="202">
        <f t="shared" ca="1" si="3"/>
        <v>1</v>
      </c>
      <c r="AG11" s="205"/>
      <c r="AH11" s="188"/>
      <c r="AI11" s="206"/>
      <c r="AJ11" s="207"/>
      <c r="AK11" s="208"/>
      <c r="AL11" s="209"/>
      <c r="AM11" s="209"/>
      <c r="AN11" s="208"/>
      <c r="AO11" s="209"/>
      <c r="AP11" s="209"/>
      <c r="AQ11" s="201"/>
    </row>
    <row r="12" spans="1:43" s="59" customFormat="1" ht="12" hidden="1" customHeight="1" x14ac:dyDescent="0.2">
      <c r="A12" s="196" t="s">
        <v>169</v>
      </c>
      <c r="B12" s="210">
        <f t="shared" ref="B12:AF12" si="4">IF(OR(AND(ISNUMBER(EB.UJEintritt),EB.UJEintritt&gt;=B$10+1),AND(ISNUMBER(EB.UJAustritt),EB.UJAustritt&lt;=B$10-1)),0,1)</f>
        <v>1</v>
      </c>
      <c r="C12" s="210">
        <f t="shared" si="4"/>
        <v>1</v>
      </c>
      <c r="D12" s="210">
        <f t="shared" si="4"/>
        <v>1</v>
      </c>
      <c r="E12" s="195">
        <f t="shared" si="4"/>
        <v>1</v>
      </c>
      <c r="F12" s="210">
        <f t="shared" si="4"/>
        <v>1</v>
      </c>
      <c r="G12" s="210">
        <f t="shared" si="4"/>
        <v>1</v>
      </c>
      <c r="H12" s="210">
        <f t="shared" si="4"/>
        <v>1</v>
      </c>
      <c r="I12" s="210">
        <f t="shared" si="4"/>
        <v>1</v>
      </c>
      <c r="J12" s="195">
        <f t="shared" si="4"/>
        <v>1</v>
      </c>
      <c r="K12" s="210">
        <f t="shared" si="4"/>
        <v>1</v>
      </c>
      <c r="L12" s="195">
        <f t="shared" si="4"/>
        <v>1</v>
      </c>
      <c r="M12" s="210">
        <f t="shared" si="4"/>
        <v>1</v>
      </c>
      <c r="N12" s="210">
        <f t="shared" si="4"/>
        <v>1</v>
      </c>
      <c r="O12" s="210">
        <f t="shared" si="4"/>
        <v>1</v>
      </c>
      <c r="P12" s="210">
        <f t="shared" si="4"/>
        <v>1</v>
      </c>
      <c r="Q12" s="195">
        <f t="shared" si="4"/>
        <v>1</v>
      </c>
      <c r="R12" s="210">
        <f t="shared" si="4"/>
        <v>1</v>
      </c>
      <c r="S12" s="195">
        <f t="shared" si="4"/>
        <v>1</v>
      </c>
      <c r="T12" s="195">
        <f t="shared" si="4"/>
        <v>1</v>
      </c>
      <c r="U12" s="210">
        <f t="shared" si="4"/>
        <v>1</v>
      </c>
      <c r="V12" s="210">
        <f t="shared" si="4"/>
        <v>1</v>
      </c>
      <c r="W12" s="210">
        <f t="shared" si="4"/>
        <v>1</v>
      </c>
      <c r="X12" s="195">
        <f t="shared" si="4"/>
        <v>1</v>
      </c>
      <c r="Y12" s="210">
        <f t="shared" si="4"/>
        <v>1</v>
      </c>
      <c r="Z12" s="211">
        <f t="shared" si="4"/>
        <v>1</v>
      </c>
      <c r="AA12" s="210">
        <f t="shared" si="4"/>
        <v>1</v>
      </c>
      <c r="AB12" s="210">
        <f t="shared" si="4"/>
        <v>1</v>
      </c>
      <c r="AC12" s="210">
        <f t="shared" si="4"/>
        <v>1</v>
      </c>
      <c r="AD12" s="210">
        <f t="shared" si="4"/>
        <v>1</v>
      </c>
      <c r="AE12" s="195">
        <f t="shared" si="4"/>
        <v>1</v>
      </c>
      <c r="AF12" s="210">
        <f t="shared" si="4"/>
        <v>1</v>
      </c>
      <c r="AG12" s="205"/>
      <c r="AH12" s="188"/>
      <c r="AI12" s="206"/>
      <c r="AJ12" s="207"/>
      <c r="AK12" s="208"/>
      <c r="AL12" s="209"/>
      <c r="AM12" s="209"/>
      <c r="AN12" s="208"/>
      <c r="AO12" s="209"/>
      <c r="AP12" s="209"/>
      <c r="AQ12" s="201"/>
    </row>
    <row r="13" spans="1:43" s="38" customFormat="1" ht="15" customHeight="1" x14ac:dyDescent="0.2">
      <c r="A13" s="212" t="s">
        <v>74</v>
      </c>
      <c r="B13" s="40"/>
      <c r="C13" s="40"/>
      <c r="D13" s="40"/>
      <c r="E13" s="27"/>
      <c r="F13" s="40"/>
      <c r="G13" s="40"/>
      <c r="H13" s="40"/>
      <c r="I13" s="40"/>
      <c r="J13" s="27"/>
      <c r="K13" s="40"/>
      <c r="L13" s="27"/>
      <c r="M13" s="40"/>
      <c r="N13" s="40"/>
      <c r="O13" s="40"/>
      <c r="P13" s="40"/>
      <c r="Q13" s="27"/>
      <c r="R13" s="40"/>
      <c r="S13" s="27"/>
      <c r="T13" s="27"/>
      <c r="U13" s="40"/>
      <c r="V13" s="40"/>
      <c r="W13" s="40"/>
      <c r="X13" s="27"/>
      <c r="Y13" s="40"/>
      <c r="Z13" s="39"/>
      <c r="AA13" s="40"/>
      <c r="AB13" s="40"/>
      <c r="AC13" s="40"/>
      <c r="AD13" s="40"/>
      <c r="AE13" s="27"/>
      <c r="AF13" s="40"/>
      <c r="AG13" s="205" t="str">
        <f t="shared" si="2"/>
        <v>in</v>
      </c>
      <c r="AH13" s="188"/>
      <c r="AI13" s="206"/>
      <c r="AJ13" s="207"/>
      <c r="AK13" s="208"/>
      <c r="AL13" s="209"/>
      <c r="AM13" s="209"/>
      <c r="AN13" s="208"/>
      <c r="AO13" s="209"/>
      <c r="AP13" s="209"/>
      <c r="AQ13" s="119"/>
    </row>
    <row r="14" spans="1:43" s="38" customFormat="1" ht="15" customHeight="1" x14ac:dyDescent="0.2">
      <c r="A14" s="212" t="s">
        <v>75</v>
      </c>
      <c r="B14" s="40"/>
      <c r="C14" s="40"/>
      <c r="D14" s="40"/>
      <c r="E14" s="27"/>
      <c r="F14" s="40"/>
      <c r="G14" s="40"/>
      <c r="H14" s="40"/>
      <c r="I14" s="40"/>
      <c r="J14" s="27"/>
      <c r="K14" s="40"/>
      <c r="L14" s="27"/>
      <c r="M14" s="40"/>
      <c r="N14" s="40"/>
      <c r="O14" s="40"/>
      <c r="P14" s="40"/>
      <c r="Q14" s="27"/>
      <c r="R14" s="40"/>
      <c r="S14" s="27"/>
      <c r="T14" s="27"/>
      <c r="U14" s="40"/>
      <c r="V14" s="40"/>
      <c r="W14" s="40"/>
      <c r="X14" s="27"/>
      <c r="Y14" s="40"/>
      <c r="Z14" s="39"/>
      <c r="AA14" s="40"/>
      <c r="AB14" s="40"/>
      <c r="AC14" s="40"/>
      <c r="AD14" s="40"/>
      <c r="AE14" s="27"/>
      <c r="AF14" s="40"/>
      <c r="AG14" s="205" t="str">
        <f t="shared" si="2"/>
        <v>out</v>
      </c>
      <c r="AH14" s="188"/>
      <c r="AI14" s="206"/>
      <c r="AJ14" s="207"/>
      <c r="AK14" s="208"/>
      <c r="AL14" s="209"/>
      <c r="AM14" s="209"/>
      <c r="AN14" s="208"/>
      <c r="AO14" s="209"/>
      <c r="AP14" s="209"/>
      <c r="AQ14" s="119"/>
    </row>
    <row r="15" spans="1:43" s="38" customFormat="1" ht="15" customHeight="1" x14ac:dyDescent="0.2">
      <c r="A15" s="212" t="s">
        <v>74</v>
      </c>
      <c r="B15" s="40"/>
      <c r="C15" s="40"/>
      <c r="D15" s="40"/>
      <c r="E15" s="27"/>
      <c r="F15" s="40"/>
      <c r="G15" s="40"/>
      <c r="H15" s="40"/>
      <c r="I15" s="40"/>
      <c r="J15" s="27"/>
      <c r="K15" s="40"/>
      <c r="L15" s="27"/>
      <c r="M15" s="40"/>
      <c r="N15" s="40"/>
      <c r="O15" s="40"/>
      <c r="P15" s="40"/>
      <c r="Q15" s="27"/>
      <c r="R15" s="40"/>
      <c r="S15" s="27"/>
      <c r="T15" s="27"/>
      <c r="U15" s="40"/>
      <c r="V15" s="40"/>
      <c r="W15" s="40"/>
      <c r="X15" s="27"/>
      <c r="Y15" s="40"/>
      <c r="Z15" s="39"/>
      <c r="AA15" s="40"/>
      <c r="AB15" s="40"/>
      <c r="AC15" s="40"/>
      <c r="AD15" s="40"/>
      <c r="AE15" s="27"/>
      <c r="AF15" s="40"/>
      <c r="AG15" s="205" t="str">
        <f t="shared" si="2"/>
        <v>in</v>
      </c>
      <c r="AH15" s="188"/>
      <c r="AI15" s="206"/>
      <c r="AJ15" s="207"/>
      <c r="AK15" s="208"/>
      <c r="AL15" s="209"/>
      <c r="AM15" s="209"/>
      <c r="AN15" s="208"/>
      <c r="AO15" s="209"/>
      <c r="AP15" s="209"/>
      <c r="AQ15" s="119"/>
    </row>
    <row r="16" spans="1:43" s="38" customFormat="1" ht="15" customHeight="1" x14ac:dyDescent="0.2">
      <c r="A16" s="212" t="s">
        <v>75</v>
      </c>
      <c r="B16" s="40"/>
      <c r="C16" s="40"/>
      <c r="D16" s="40"/>
      <c r="E16" s="27"/>
      <c r="F16" s="40"/>
      <c r="G16" s="40"/>
      <c r="H16" s="40"/>
      <c r="I16" s="40"/>
      <c r="J16" s="27"/>
      <c r="K16" s="40"/>
      <c r="L16" s="27"/>
      <c r="M16" s="40"/>
      <c r="N16" s="40"/>
      <c r="O16" s="40"/>
      <c r="P16" s="40"/>
      <c r="Q16" s="27"/>
      <c r="R16" s="40"/>
      <c r="S16" s="27"/>
      <c r="T16" s="27"/>
      <c r="U16" s="40"/>
      <c r="V16" s="40"/>
      <c r="W16" s="40"/>
      <c r="X16" s="27"/>
      <c r="Y16" s="40"/>
      <c r="Z16" s="39"/>
      <c r="AA16" s="40"/>
      <c r="AB16" s="40"/>
      <c r="AC16" s="40"/>
      <c r="AD16" s="40"/>
      <c r="AE16" s="27"/>
      <c r="AF16" s="40"/>
      <c r="AG16" s="205" t="str">
        <f t="shared" si="2"/>
        <v>out</v>
      </c>
      <c r="AH16" s="188"/>
      <c r="AI16" s="213"/>
      <c r="AJ16" s="214"/>
      <c r="AK16" s="209"/>
      <c r="AL16" s="209"/>
      <c r="AM16" s="209"/>
      <c r="AN16" s="208"/>
      <c r="AO16" s="209"/>
      <c r="AP16" s="209"/>
      <c r="AQ16" s="119"/>
    </row>
    <row r="17" spans="1:43" s="38" customFormat="1" ht="15" customHeight="1" x14ac:dyDescent="0.2">
      <c r="A17" s="212" t="s">
        <v>74</v>
      </c>
      <c r="B17" s="40"/>
      <c r="C17" s="40"/>
      <c r="D17" s="40"/>
      <c r="E17" s="27"/>
      <c r="F17" s="40"/>
      <c r="G17" s="40"/>
      <c r="H17" s="40"/>
      <c r="I17" s="40"/>
      <c r="J17" s="27"/>
      <c r="K17" s="40"/>
      <c r="L17" s="27"/>
      <c r="M17" s="40"/>
      <c r="N17" s="40"/>
      <c r="O17" s="40"/>
      <c r="P17" s="40"/>
      <c r="Q17" s="27"/>
      <c r="R17" s="40"/>
      <c r="S17" s="27"/>
      <c r="T17" s="27"/>
      <c r="U17" s="40"/>
      <c r="V17" s="40"/>
      <c r="W17" s="40"/>
      <c r="X17" s="27"/>
      <c r="Y17" s="40"/>
      <c r="Z17" s="39"/>
      <c r="AA17" s="40"/>
      <c r="AB17" s="40"/>
      <c r="AC17" s="40"/>
      <c r="AD17" s="40"/>
      <c r="AE17" s="27"/>
      <c r="AF17" s="40"/>
      <c r="AG17" s="205" t="str">
        <f t="shared" si="2"/>
        <v>in</v>
      </c>
      <c r="AH17" s="188"/>
      <c r="AI17" s="213"/>
      <c r="AJ17" s="214"/>
      <c r="AK17" s="209"/>
      <c r="AL17" s="209"/>
      <c r="AM17" s="209"/>
      <c r="AN17" s="208"/>
      <c r="AO17" s="209"/>
      <c r="AP17" s="209"/>
      <c r="AQ17" s="119"/>
    </row>
    <row r="18" spans="1:43" s="38" customFormat="1" ht="15" customHeight="1" x14ac:dyDescent="0.2">
      <c r="A18" s="212" t="s">
        <v>75</v>
      </c>
      <c r="B18" s="40"/>
      <c r="C18" s="40"/>
      <c r="D18" s="40"/>
      <c r="E18" s="27"/>
      <c r="F18" s="40"/>
      <c r="G18" s="40"/>
      <c r="H18" s="40"/>
      <c r="I18" s="40"/>
      <c r="J18" s="27"/>
      <c r="K18" s="40"/>
      <c r="L18" s="27"/>
      <c r="M18" s="40"/>
      <c r="N18" s="40"/>
      <c r="O18" s="40"/>
      <c r="P18" s="40"/>
      <c r="Q18" s="27"/>
      <c r="R18" s="40"/>
      <c r="S18" s="27"/>
      <c r="T18" s="27"/>
      <c r="U18" s="40"/>
      <c r="V18" s="40"/>
      <c r="W18" s="40"/>
      <c r="X18" s="27"/>
      <c r="Y18" s="40"/>
      <c r="Z18" s="39"/>
      <c r="AA18" s="40"/>
      <c r="AB18" s="40"/>
      <c r="AC18" s="40"/>
      <c r="AD18" s="40"/>
      <c r="AE18" s="27"/>
      <c r="AF18" s="40"/>
      <c r="AG18" s="205" t="str">
        <f t="shared" si="2"/>
        <v>out</v>
      </c>
      <c r="AH18" s="188"/>
      <c r="AI18" s="213"/>
      <c r="AJ18" s="214"/>
      <c r="AK18" s="209"/>
      <c r="AL18" s="209"/>
      <c r="AM18" s="209"/>
      <c r="AN18" s="208"/>
      <c r="AO18" s="209"/>
      <c r="AP18" s="209"/>
      <c r="AQ18" s="119"/>
    </row>
    <row r="19" spans="1:43" s="38" customFormat="1" ht="15" hidden="1" customHeight="1" outlineLevel="1" x14ac:dyDescent="0.2">
      <c r="A19" s="212" t="s">
        <v>74</v>
      </c>
      <c r="B19" s="40"/>
      <c r="C19" s="40"/>
      <c r="D19" s="40"/>
      <c r="E19" s="27"/>
      <c r="F19" s="40"/>
      <c r="G19" s="40"/>
      <c r="H19" s="40"/>
      <c r="I19" s="40"/>
      <c r="J19" s="27"/>
      <c r="K19" s="40"/>
      <c r="L19" s="27"/>
      <c r="M19" s="40"/>
      <c r="N19" s="40"/>
      <c r="O19" s="40"/>
      <c r="P19" s="40"/>
      <c r="Q19" s="27"/>
      <c r="R19" s="40"/>
      <c r="S19" s="27"/>
      <c r="T19" s="27"/>
      <c r="U19" s="40"/>
      <c r="V19" s="40"/>
      <c r="W19" s="40"/>
      <c r="X19" s="27"/>
      <c r="Y19" s="40"/>
      <c r="Z19" s="39"/>
      <c r="AA19" s="40"/>
      <c r="AB19" s="40"/>
      <c r="AC19" s="40"/>
      <c r="AD19" s="40"/>
      <c r="AE19" s="27"/>
      <c r="AF19" s="40"/>
      <c r="AG19" s="205" t="str">
        <f t="shared" si="2"/>
        <v>in</v>
      </c>
      <c r="AH19" s="188"/>
      <c r="AI19" s="213"/>
      <c r="AJ19" s="214"/>
      <c r="AK19" s="209"/>
      <c r="AL19" s="209"/>
      <c r="AM19" s="209"/>
      <c r="AN19" s="208"/>
      <c r="AO19" s="209"/>
      <c r="AP19" s="209"/>
      <c r="AQ19" s="119"/>
    </row>
    <row r="20" spans="1:43" s="38" customFormat="1" ht="15" hidden="1" customHeight="1" outlineLevel="1" x14ac:dyDescent="0.2">
      <c r="A20" s="212" t="s">
        <v>75</v>
      </c>
      <c r="B20" s="40"/>
      <c r="C20" s="40"/>
      <c r="D20" s="40"/>
      <c r="E20" s="27"/>
      <c r="F20" s="40"/>
      <c r="G20" s="40"/>
      <c r="H20" s="40"/>
      <c r="I20" s="40"/>
      <c r="J20" s="27"/>
      <c r="K20" s="40"/>
      <c r="L20" s="27"/>
      <c r="M20" s="40"/>
      <c r="N20" s="40"/>
      <c r="O20" s="40"/>
      <c r="P20" s="40"/>
      <c r="Q20" s="27"/>
      <c r="R20" s="40"/>
      <c r="S20" s="27"/>
      <c r="T20" s="27"/>
      <c r="U20" s="40"/>
      <c r="V20" s="40"/>
      <c r="W20" s="40"/>
      <c r="X20" s="27"/>
      <c r="Y20" s="40"/>
      <c r="Z20" s="39"/>
      <c r="AA20" s="40"/>
      <c r="AB20" s="40"/>
      <c r="AC20" s="40"/>
      <c r="AD20" s="40"/>
      <c r="AE20" s="27"/>
      <c r="AF20" s="40"/>
      <c r="AG20" s="205" t="str">
        <f t="shared" si="2"/>
        <v>out</v>
      </c>
      <c r="AH20" s="188"/>
      <c r="AI20" s="213"/>
      <c r="AJ20" s="214"/>
      <c r="AK20" s="209"/>
      <c r="AL20" s="209"/>
      <c r="AM20" s="209"/>
      <c r="AN20" s="208"/>
      <c r="AO20" s="209"/>
      <c r="AP20" s="209"/>
      <c r="AQ20" s="119"/>
    </row>
    <row r="21" spans="1:43" s="38" customFormat="1" ht="15" hidden="1" customHeight="1" outlineLevel="1" x14ac:dyDescent="0.2">
      <c r="A21" s="212" t="s">
        <v>74</v>
      </c>
      <c r="B21" s="40"/>
      <c r="C21" s="40"/>
      <c r="D21" s="40"/>
      <c r="E21" s="27"/>
      <c r="F21" s="40"/>
      <c r="G21" s="40"/>
      <c r="H21" s="40"/>
      <c r="I21" s="40"/>
      <c r="J21" s="27"/>
      <c r="K21" s="40"/>
      <c r="L21" s="27"/>
      <c r="M21" s="40"/>
      <c r="N21" s="40"/>
      <c r="O21" s="40"/>
      <c r="P21" s="40"/>
      <c r="Q21" s="27"/>
      <c r="R21" s="40"/>
      <c r="S21" s="27"/>
      <c r="T21" s="27"/>
      <c r="U21" s="40"/>
      <c r="V21" s="40"/>
      <c r="W21" s="40"/>
      <c r="X21" s="27"/>
      <c r="Y21" s="40"/>
      <c r="Z21" s="39"/>
      <c r="AA21" s="40"/>
      <c r="AB21" s="40"/>
      <c r="AC21" s="40"/>
      <c r="AD21" s="40"/>
      <c r="AE21" s="27"/>
      <c r="AF21" s="40"/>
      <c r="AG21" s="205" t="str">
        <f t="shared" si="2"/>
        <v>in</v>
      </c>
      <c r="AH21" s="188"/>
      <c r="AI21" s="213"/>
      <c r="AJ21" s="214"/>
      <c r="AK21" s="209"/>
      <c r="AL21" s="209"/>
      <c r="AM21" s="209"/>
      <c r="AN21" s="208"/>
      <c r="AO21" s="209"/>
      <c r="AP21" s="209"/>
      <c r="AQ21" s="119"/>
    </row>
    <row r="22" spans="1:43" s="38" customFormat="1" ht="15" hidden="1" customHeight="1" outlineLevel="1" x14ac:dyDescent="0.2">
      <c r="A22" s="212" t="s">
        <v>75</v>
      </c>
      <c r="B22" s="40"/>
      <c r="C22" s="40"/>
      <c r="D22" s="40"/>
      <c r="E22" s="27"/>
      <c r="F22" s="40"/>
      <c r="G22" s="40"/>
      <c r="H22" s="40"/>
      <c r="I22" s="40"/>
      <c r="J22" s="27"/>
      <c r="K22" s="40"/>
      <c r="L22" s="27"/>
      <c r="M22" s="40"/>
      <c r="N22" s="40"/>
      <c r="O22" s="40"/>
      <c r="P22" s="40"/>
      <c r="Q22" s="27"/>
      <c r="R22" s="40"/>
      <c r="S22" s="27"/>
      <c r="T22" s="27"/>
      <c r="U22" s="40"/>
      <c r="V22" s="40"/>
      <c r="W22" s="40"/>
      <c r="X22" s="27"/>
      <c r="Y22" s="40"/>
      <c r="Z22" s="39"/>
      <c r="AA22" s="40"/>
      <c r="AB22" s="40"/>
      <c r="AC22" s="40"/>
      <c r="AD22" s="40"/>
      <c r="AE22" s="27"/>
      <c r="AF22" s="40"/>
      <c r="AG22" s="205" t="str">
        <f t="shared" si="2"/>
        <v>out</v>
      </c>
      <c r="AH22" s="188"/>
      <c r="AI22" s="213"/>
      <c r="AJ22" s="214"/>
      <c r="AK22" s="209"/>
      <c r="AL22" s="209"/>
      <c r="AM22" s="209"/>
      <c r="AN22" s="208"/>
      <c r="AO22" s="209"/>
      <c r="AP22" s="209"/>
      <c r="AQ22" s="119"/>
    </row>
    <row r="23" spans="1:43" s="38" customFormat="1" ht="15" customHeight="1" collapsed="1" x14ac:dyDescent="0.2">
      <c r="A23" s="215" t="s">
        <v>204</v>
      </c>
      <c r="B23" s="216">
        <f>ROUND(((B14-B13)+(B16-B15)+(B18-B17)+(B20-B19)+(B22-B21))*1440,0)/1440</f>
        <v>0</v>
      </c>
      <c r="C23" s="216">
        <f t="shared" ref="C23:AF23" si="5">ROUND(((C14-C13)+(C16-C15)+(C18-C17)+(C20-C19)+(C22-C21))*1440,0)/1440</f>
        <v>0</v>
      </c>
      <c r="D23" s="216">
        <f t="shared" si="5"/>
        <v>0</v>
      </c>
      <c r="E23" s="216">
        <f t="shared" si="5"/>
        <v>0</v>
      </c>
      <c r="F23" s="216">
        <f t="shared" si="5"/>
        <v>0</v>
      </c>
      <c r="G23" s="216">
        <f t="shared" si="5"/>
        <v>0</v>
      </c>
      <c r="H23" s="216">
        <f t="shared" si="5"/>
        <v>0</v>
      </c>
      <c r="I23" s="216">
        <f t="shared" si="5"/>
        <v>0</v>
      </c>
      <c r="J23" s="216">
        <f t="shared" si="5"/>
        <v>0</v>
      </c>
      <c r="K23" s="216">
        <f t="shared" si="5"/>
        <v>0</v>
      </c>
      <c r="L23" s="216">
        <f t="shared" si="5"/>
        <v>0</v>
      </c>
      <c r="M23" s="216">
        <f t="shared" si="5"/>
        <v>0</v>
      </c>
      <c r="N23" s="216">
        <f t="shared" si="5"/>
        <v>0</v>
      </c>
      <c r="O23" s="216">
        <f t="shared" si="5"/>
        <v>0</v>
      </c>
      <c r="P23" s="216">
        <f t="shared" si="5"/>
        <v>0</v>
      </c>
      <c r="Q23" s="216">
        <f t="shared" si="5"/>
        <v>0</v>
      </c>
      <c r="R23" s="216">
        <f t="shared" si="5"/>
        <v>0</v>
      </c>
      <c r="S23" s="216">
        <f t="shared" si="5"/>
        <v>0</v>
      </c>
      <c r="T23" s="216">
        <f t="shared" si="5"/>
        <v>0</v>
      </c>
      <c r="U23" s="216">
        <f t="shared" si="5"/>
        <v>0</v>
      </c>
      <c r="V23" s="216">
        <f t="shared" si="5"/>
        <v>0</v>
      </c>
      <c r="W23" s="216">
        <f t="shared" si="5"/>
        <v>0</v>
      </c>
      <c r="X23" s="216">
        <f t="shared" si="5"/>
        <v>0</v>
      </c>
      <c r="Y23" s="216">
        <f t="shared" si="5"/>
        <v>0</v>
      </c>
      <c r="Z23" s="216">
        <f t="shared" si="5"/>
        <v>0</v>
      </c>
      <c r="AA23" s="216">
        <f t="shared" si="5"/>
        <v>0</v>
      </c>
      <c r="AB23" s="216">
        <f t="shared" si="5"/>
        <v>0</v>
      </c>
      <c r="AC23" s="216">
        <f t="shared" si="5"/>
        <v>0</v>
      </c>
      <c r="AD23" s="216">
        <f t="shared" si="5"/>
        <v>0</v>
      </c>
      <c r="AE23" s="216">
        <f t="shared" si="5"/>
        <v>0</v>
      </c>
      <c r="AF23" s="216">
        <f t="shared" si="5"/>
        <v>0</v>
      </c>
      <c r="AG23" s="217" t="str">
        <f t="shared" si="2"/>
        <v>Total in/out</v>
      </c>
      <c r="AH23" s="218"/>
      <c r="AI23" s="219">
        <f>SUM(B23:AF23)</f>
        <v>0</v>
      </c>
      <c r="AJ23" s="214"/>
      <c r="AK23" s="209"/>
      <c r="AL23" s="209"/>
      <c r="AM23" s="209"/>
      <c r="AN23" s="208"/>
      <c r="AO23" s="209"/>
      <c r="AP23" s="209"/>
      <c r="AQ23" s="119"/>
    </row>
    <row r="24" spans="1:43" s="38" customFormat="1" ht="3.75" hidden="1" customHeight="1" outlineLevel="1" x14ac:dyDescent="0.2">
      <c r="A24" s="220"/>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2"/>
      <c r="AG24" s="205"/>
      <c r="AH24" s="188"/>
      <c r="AI24" s="213"/>
      <c r="AJ24" s="214"/>
      <c r="AK24" s="209"/>
      <c r="AL24" s="209"/>
      <c r="AM24" s="209"/>
      <c r="AN24" s="208"/>
      <c r="AO24" s="209"/>
      <c r="AP24" s="209"/>
      <c r="AQ24" s="119"/>
    </row>
    <row r="25" spans="1:43" s="38" customFormat="1" ht="15" hidden="1" customHeight="1" outlineLevel="1" x14ac:dyDescent="0.2">
      <c r="A25" s="212" t="s">
        <v>164</v>
      </c>
      <c r="B25" s="40"/>
      <c r="C25" s="40"/>
      <c r="D25" s="40"/>
      <c r="E25" s="77"/>
      <c r="F25" s="40"/>
      <c r="G25" s="40"/>
      <c r="H25" s="40"/>
      <c r="I25" s="40"/>
      <c r="J25" s="40"/>
      <c r="K25" s="40"/>
      <c r="L25" s="40"/>
      <c r="M25" s="40"/>
      <c r="N25" s="40"/>
      <c r="O25" s="40"/>
      <c r="P25" s="40"/>
      <c r="Q25" s="40"/>
      <c r="R25" s="40"/>
      <c r="S25" s="40"/>
      <c r="T25" s="40"/>
      <c r="U25" s="40"/>
      <c r="V25" s="40"/>
      <c r="W25" s="40"/>
      <c r="X25" s="40"/>
      <c r="Y25" s="40"/>
      <c r="Z25" s="47"/>
      <c r="AA25" s="40"/>
      <c r="AB25" s="40"/>
      <c r="AC25" s="40"/>
      <c r="AD25" s="40"/>
      <c r="AE25" s="40"/>
      <c r="AF25" s="40"/>
      <c r="AG25" s="205" t="str">
        <f t="shared" ref="AG25:AG30" si="6">A25</f>
        <v>paid break in</v>
      </c>
      <c r="AH25" s="188"/>
      <c r="AI25" s="213"/>
      <c r="AJ25" s="214"/>
      <c r="AK25" s="209"/>
      <c r="AL25" s="209"/>
      <c r="AM25" s="209"/>
      <c r="AN25" s="208"/>
      <c r="AO25" s="209"/>
      <c r="AP25" s="209"/>
      <c r="AQ25" s="119"/>
    </row>
    <row r="26" spans="1:43" s="38" customFormat="1" ht="15" hidden="1" customHeight="1" outlineLevel="1" x14ac:dyDescent="0.2">
      <c r="A26" s="212" t="s">
        <v>165</v>
      </c>
      <c r="B26" s="40"/>
      <c r="C26" s="40"/>
      <c r="D26" s="40"/>
      <c r="E26" s="40"/>
      <c r="F26" s="40"/>
      <c r="G26" s="40"/>
      <c r="H26" s="40"/>
      <c r="I26" s="40"/>
      <c r="J26" s="40"/>
      <c r="K26" s="40"/>
      <c r="L26" s="40"/>
      <c r="M26" s="40"/>
      <c r="N26" s="40"/>
      <c r="O26" s="40"/>
      <c r="P26" s="40"/>
      <c r="Q26" s="40"/>
      <c r="R26" s="40"/>
      <c r="S26" s="40"/>
      <c r="T26" s="40"/>
      <c r="U26" s="40"/>
      <c r="V26" s="40"/>
      <c r="W26" s="40"/>
      <c r="X26" s="40"/>
      <c r="Y26" s="40"/>
      <c r="Z26" s="47"/>
      <c r="AA26" s="40"/>
      <c r="AB26" s="40"/>
      <c r="AC26" s="40"/>
      <c r="AD26" s="40"/>
      <c r="AE26" s="40"/>
      <c r="AF26" s="40"/>
      <c r="AG26" s="205" t="str">
        <f t="shared" si="6"/>
        <v>paid break out</v>
      </c>
      <c r="AH26" s="188"/>
      <c r="AI26" s="213"/>
      <c r="AJ26" s="214"/>
      <c r="AK26" s="209"/>
      <c r="AL26" s="209"/>
      <c r="AM26" s="209"/>
      <c r="AN26" s="208"/>
      <c r="AO26" s="209"/>
      <c r="AP26" s="209"/>
      <c r="AQ26" s="119"/>
    </row>
    <row r="27" spans="1:43" s="38" customFormat="1" ht="15" hidden="1" customHeight="1" outlineLevel="1" x14ac:dyDescent="0.2">
      <c r="A27" s="212" t="s">
        <v>164</v>
      </c>
      <c r="B27" s="40"/>
      <c r="C27" s="40"/>
      <c r="D27" s="40"/>
      <c r="E27" s="40"/>
      <c r="F27" s="40"/>
      <c r="G27" s="40"/>
      <c r="H27" s="40"/>
      <c r="I27" s="40"/>
      <c r="J27" s="40"/>
      <c r="K27" s="40"/>
      <c r="L27" s="40"/>
      <c r="M27" s="40"/>
      <c r="N27" s="40"/>
      <c r="O27" s="40"/>
      <c r="P27" s="40"/>
      <c r="Q27" s="40"/>
      <c r="R27" s="40"/>
      <c r="S27" s="40"/>
      <c r="T27" s="40"/>
      <c r="U27" s="40"/>
      <c r="V27" s="40"/>
      <c r="W27" s="40"/>
      <c r="X27" s="40"/>
      <c r="Y27" s="40"/>
      <c r="Z27" s="47"/>
      <c r="AA27" s="40"/>
      <c r="AB27" s="40"/>
      <c r="AC27" s="40"/>
      <c r="AD27" s="40"/>
      <c r="AE27" s="40"/>
      <c r="AF27" s="40"/>
      <c r="AG27" s="205" t="str">
        <f t="shared" si="6"/>
        <v>paid break in</v>
      </c>
      <c r="AH27" s="188"/>
      <c r="AI27" s="213"/>
      <c r="AJ27" s="214"/>
      <c r="AK27" s="209"/>
      <c r="AL27" s="209"/>
      <c r="AM27" s="209"/>
      <c r="AN27" s="208"/>
      <c r="AO27" s="209"/>
      <c r="AP27" s="209"/>
      <c r="AQ27" s="119"/>
    </row>
    <row r="28" spans="1:43" s="38" customFormat="1" ht="15" hidden="1" customHeight="1" outlineLevel="1" x14ac:dyDescent="0.2">
      <c r="A28" s="212" t="s">
        <v>165</v>
      </c>
      <c r="B28" s="40"/>
      <c r="C28" s="40"/>
      <c r="D28" s="40"/>
      <c r="E28" s="40"/>
      <c r="F28" s="40"/>
      <c r="G28" s="40"/>
      <c r="H28" s="40"/>
      <c r="I28" s="40"/>
      <c r="J28" s="40"/>
      <c r="K28" s="40"/>
      <c r="L28" s="40"/>
      <c r="M28" s="40"/>
      <c r="N28" s="40"/>
      <c r="O28" s="40"/>
      <c r="P28" s="40"/>
      <c r="Q28" s="40"/>
      <c r="R28" s="40"/>
      <c r="S28" s="40"/>
      <c r="T28" s="40"/>
      <c r="U28" s="40"/>
      <c r="V28" s="40"/>
      <c r="W28" s="40"/>
      <c r="X28" s="40"/>
      <c r="Y28" s="40"/>
      <c r="Z28" s="47"/>
      <c r="AA28" s="40"/>
      <c r="AB28" s="40"/>
      <c r="AC28" s="40"/>
      <c r="AD28" s="40"/>
      <c r="AE28" s="40"/>
      <c r="AF28" s="40"/>
      <c r="AG28" s="205" t="str">
        <f t="shared" si="6"/>
        <v>paid break out</v>
      </c>
      <c r="AH28" s="188"/>
      <c r="AI28" s="213"/>
      <c r="AJ28" s="214"/>
      <c r="AK28" s="209"/>
      <c r="AL28" s="209"/>
      <c r="AM28" s="209"/>
      <c r="AN28" s="208"/>
      <c r="AO28" s="209"/>
      <c r="AP28" s="209"/>
      <c r="AQ28" s="119"/>
    </row>
    <row r="29" spans="1:43" s="38" customFormat="1" ht="15" hidden="1" customHeight="1" outlineLevel="1" x14ac:dyDescent="0.2">
      <c r="A29" s="212" t="s">
        <v>164</v>
      </c>
      <c r="B29" s="40"/>
      <c r="C29" s="40"/>
      <c r="D29" s="40"/>
      <c r="E29" s="40"/>
      <c r="F29" s="40"/>
      <c r="G29" s="40"/>
      <c r="H29" s="40"/>
      <c r="I29" s="40"/>
      <c r="J29" s="40"/>
      <c r="K29" s="40"/>
      <c r="L29" s="40"/>
      <c r="M29" s="40"/>
      <c r="N29" s="40"/>
      <c r="O29" s="40"/>
      <c r="P29" s="40"/>
      <c r="Q29" s="40"/>
      <c r="R29" s="40"/>
      <c r="S29" s="40"/>
      <c r="T29" s="40"/>
      <c r="U29" s="40"/>
      <c r="V29" s="40"/>
      <c r="W29" s="40"/>
      <c r="X29" s="40"/>
      <c r="Y29" s="40"/>
      <c r="Z29" s="47"/>
      <c r="AA29" s="40"/>
      <c r="AB29" s="40"/>
      <c r="AC29" s="40"/>
      <c r="AD29" s="40"/>
      <c r="AE29" s="40"/>
      <c r="AF29" s="40"/>
      <c r="AG29" s="205" t="str">
        <f t="shared" si="6"/>
        <v>paid break in</v>
      </c>
      <c r="AH29" s="188"/>
      <c r="AI29" s="213"/>
      <c r="AJ29" s="214"/>
      <c r="AK29" s="209"/>
      <c r="AL29" s="209"/>
      <c r="AM29" s="209"/>
      <c r="AN29" s="208"/>
      <c r="AO29" s="209"/>
      <c r="AP29" s="209"/>
      <c r="AQ29" s="119"/>
    </row>
    <row r="30" spans="1:43" s="38" customFormat="1" ht="15" hidden="1" customHeight="1" outlineLevel="1" x14ac:dyDescent="0.2">
      <c r="A30" s="212" t="s">
        <v>165</v>
      </c>
      <c r="B30" s="40"/>
      <c r="C30" s="40"/>
      <c r="D30" s="40"/>
      <c r="E30" s="40"/>
      <c r="F30" s="40"/>
      <c r="G30" s="40"/>
      <c r="H30" s="40"/>
      <c r="I30" s="40"/>
      <c r="J30" s="40"/>
      <c r="K30" s="40"/>
      <c r="L30" s="40"/>
      <c r="M30" s="40"/>
      <c r="N30" s="40"/>
      <c r="O30" s="40"/>
      <c r="P30" s="40"/>
      <c r="Q30" s="40"/>
      <c r="R30" s="40"/>
      <c r="S30" s="40"/>
      <c r="T30" s="40"/>
      <c r="U30" s="40"/>
      <c r="V30" s="40"/>
      <c r="W30" s="40"/>
      <c r="X30" s="40"/>
      <c r="Y30" s="40"/>
      <c r="Z30" s="47"/>
      <c r="AA30" s="40"/>
      <c r="AB30" s="40"/>
      <c r="AC30" s="40"/>
      <c r="AD30" s="40"/>
      <c r="AE30" s="40"/>
      <c r="AF30" s="40"/>
      <c r="AG30" s="205" t="str">
        <f t="shared" si="6"/>
        <v>paid break out</v>
      </c>
      <c r="AH30" s="188"/>
      <c r="AI30" s="213"/>
      <c r="AJ30" s="214"/>
      <c r="AK30" s="209"/>
      <c r="AL30" s="209"/>
      <c r="AM30" s="209"/>
      <c r="AN30" s="208"/>
      <c r="AO30" s="209"/>
      <c r="AP30" s="209"/>
      <c r="AQ30" s="119"/>
    </row>
    <row r="31" spans="1:43" s="38" customFormat="1" ht="3.75" hidden="1" customHeight="1" outlineLevel="1" x14ac:dyDescent="0.2">
      <c r="A31" s="220"/>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4"/>
      <c r="AG31" s="205"/>
      <c r="AH31" s="188"/>
      <c r="AI31" s="213"/>
      <c r="AJ31" s="214"/>
      <c r="AK31" s="209"/>
      <c r="AL31" s="209"/>
      <c r="AM31" s="209"/>
      <c r="AN31" s="208"/>
      <c r="AO31" s="209"/>
      <c r="AP31" s="209"/>
      <c r="AQ31" s="119"/>
    </row>
    <row r="32" spans="1:43" s="38" customFormat="1" ht="15" hidden="1" customHeight="1" outlineLevel="1" x14ac:dyDescent="0.2">
      <c r="A32" s="215" t="s">
        <v>205</v>
      </c>
      <c r="B32" s="225">
        <f>ROUND((IF(MAX(0,B15-B14)&lt;1/24/60*180,MAX(0,B15-B14),0)+IF(MAX(0,B17-B16)&lt;1/24/60*180,MAX(0,B17-B16),0)+IF(MAX(0,B19-B18)&lt;1/24/60*180,MAX(0,B19-B18),0)+IF(MAX(0,B21-B20)&lt;1/24/60*180,MAX(0,B21-B20))+MAX(0,B26-B25)+MAX(0,B28-B27)+MAX(0,B30-B29))*1440,0)/1440</f>
        <v>0</v>
      </c>
      <c r="C32" s="225">
        <f t="shared" ref="C32:AF32" si="7">ROUND((IF(MAX(0,C15-C14)&lt;1/24/60*180,MAX(0,C15-C14),0)+IF(MAX(0,C17-C16)&lt;1/24/60*180,MAX(0,C17-C16),0)+IF(MAX(0,C19-C18)&lt;1/24/60*180,MAX(0,C19-C18),0)+IF(MAX(0,C21-C20)&lt;1/24/60*180,MAX(0,C21-C20))+MAX(0,C26-C25)+MAX(0,C28-C27)+MAX(0,C30-C29))*1440,0)/1440</f>
        <v>0</v>
      </c>
      <c r="D32" s="225">
        <f t="shared" si="7"/>
        <v>0</v>
      </c>
      <c r="E32" s="225">
        <f t="shared" si="7"/>
        <v>0</v>
      </c>
      <c r="F32" s="225">
        <f t="shared" si="7"/>
        <v>0</v>
      </c>
      <c r="G32" s="225">
        <f t="shared" si="7"/>
        <v>0</v>
      </c>
      <c r="H32" s="225">
        <f t="shared" si="7"/>
        <v>0</v>
      </c>
      <c r="I32" s="225">
        <f t="shared" si="7"/>
        <v>0</v>
      </c>
      <c r="J32" s="225">
        <f t="shared" si="7"/>
        <v>0</v>
      </c>
      <c r="K32" s="225">
        <f t="shared" si="7"/>
        <v>0</v>
      </c>
      <c r="L32" s="225">
        <f t="shared" si="7"/>
        <v>0</v>
      </c>
      <c r="M32" s="225">
        <f t="shared" si="7"/>
        <v>0</v>
      </c>
      <c r="N32" s="225">
        <f t="shared" si="7"/>
        <v>0</v>
      </c>
      <c r="O32" s="225">
        <f t="shared" si="7"/>
        <v>0</v>
      </c>
      <c r="P32" s="225">
        <f t="shared" si="7"/>
        <v>0</v>
      </c>
      <c r="Q32" s="225">
        <f t="shared" si="7"/>
        <v>0</v>
      </c>
      <c r="R32" s="225">
        <f t="shared" si="7"/>
        <v>0</v>
      </c>
      <c r="S32" s="225">
        <f t="shared" si="7"/>
        <v>0</v>
      </c>
      <c r="T32" s="225">
        <f t="shared" si="7"/>
        <v>0</v>
      </c>
      <c r="U32" s="225">
        <f t="shared" si="7"/>
        <v>0</v>
      </c>
      <c r="V32" s="225">
        <f t="shared" si="7"/>
        <v>0</v>
      </c>
      <c r="W32" s="225">
        <f t="shared" si="7"/>
        <v>0</v>
      </c>
      <c r="X32" s="225">
        <f t="shared" si="7"/>
        <v>0</v>
      </c>
      <c r="Y32" s="225">
        <f t="shared" si="7"/>
        <v>0</v>
      </c>
      <c r="Z32" s="225">
        <f t="shared" si="7"/>
        <v>0</v>
      </c>
      <c r="AA32" s="225">
        <f t="shared" si="7"/>
        <v>0</v>
      </c>
      <c r="AB32" s="225">
        <f t="shared" si="7"/>
        <v>0</v>
      </c>
      <c r="AC32" s="225">
        <f t="shared" si="7"/>
        <v>0</v>
      </c>
      <c r="AD32" s="225">
        <f t="shared" si="7"/>
        <v>0</v>
      </c>
      <c r="AE32" s="225">
        <f t="shared" si="7"/>
        <v>0</v>
      </c>
      <c r="AF32" s="225">
        <f t="shared" si="7"/>
        <v>0</v>
      </c>
      <c r="AG32" s="217" t="str">
        <f t="shared" ref="AG32" si="8">A32</f>
        <v>Total breaks (in out/paid)</v>
      </c>
      <c r="AH32" s="218"/>
      <c r="AI32" s="219">
        <f>SUM(B32:AF32)</f>
        <v>0</v>
      </c>
      <c r="AJ32" s="214"/>
      <c r="AK32" s="209"/>
      <c r="AL32" s="209"/>
      <c r="AM32" s="209"/>
      <c r="AN32" s="208"/>
      <c r="AO32" s="209"/>
      <c r="AP32" s="209"/>
      <c r="AQ32" s="119"/>
    </row>
    <row r="33" spans="1:43" s="38" customFormat="1" ht="3.75" customHeight="1" collapsed="1" x14ac:dyDescent="0.2">
      <c r="A33" s="220"/>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7"/>
      <c r="AG33" s="205"/>
      <c r="AH33" s="188"/>
      <c r="AI33" s="213"/>
      <c r="AJ33" s="214"/>
      <c r="AK33" s="209"/>
      <c r="AL33" s="209"/>
      <c r="AM33" s="209"/>
      <c r="AN33" s="208"/>
      <c r="AO33" s="209"/>
      <c r="AP33" s="209"/>
      <c r="AQ33" s="119"/>
    </row>
    <row r="34" spans="1:43" s="38" customFormat="1" ht="15" customHeight="1" outlineLevel="1" x14ac:dyDescent="0.2">
      <c r="A34" s="212" t="s">
        <v>206</v>
      </c>
      <c r="B34" s="92" t="str">
        <f ca="1">IF(EB.Anwendung&lt;&gt;"",IF(EB.Wochenarbeitszeit=50/24,INDEX(T.Pikett.Bereich,1),IF(DAY(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34="B",INDEX(T.Pikett.Bereich,4),IF(A34="E",INDEX(T.Pikett.Bereich,1),A34)))),"")</f>
        <v>No</v>
      </c>
      <c r="C34" s="92" t="str">
        <f ca="1">IF(EB.Anwendung&lt;&gt;"",IF(EB.Wochenarbeitszeit=50/24,INDEX(T.Pikett.Bereich,1),IF(DAY(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B34="B",INDEX(T.Pikett.Bereich,4),IF(B34="E",INDEX(T.Pikett.Bereich,1),B34)))),"")</f>
        <v>No</v>
      </c>
      <c r="D34" s="92" t="str">
        <f ca="1">IF(EB.Anwendung&lt;&gt;"",IF(EB.Wochenarbeitszeit=50/24,INDEX(T.Pikett.Bereich,1),IF(DAY(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C34="B",INDEX(T.Pikett.Bereich,4),IF(C34="E",INDEX(T.Pikett.Bereich,1),C34)))),"")</f>
        <v>No</v>
      </c>
      <c r="E34" s="92" t="str">
        <f ca="1">IF(EB.Anwendung&lt;&gt;"",IF(EB.Wochenarbeitszeit=50/24,INDEX(T.Pikett.Bereich,1),IF(DAY(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D34="B",INDEX(T.Pikett.Bereich,4),IF(D34="E",INDEX(T.Pikett.Bereich,1),D34)))),"")</f>
        <v>No</v>
      </c>
      <c r="F34" s="92" t="str">
        <f ca="1">IF(EB.Anwendung&lt;&gt;"",IF(EB.Wochenarbeitszeit=50/24,INDEX(T.Pikett.Bereich,1),IF(DAY(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E34="B",INDEX(T.Pikett.Bereich,4),IF(E34="E",INDEX(T.Pikett.Bereich,1),E34)))),"")</f>
        <v>No</v>
      </c>
      <c r="G34" s="92" t="str">
        <f ca="1">IF(EB.Anwendung&lt;&gt;"",IF(EB.Wochenarbeitszeit=50/24,INDEX(T.Pikett.Bereich,1),IF(DAY(G$10)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F34="B",INDEX(T.Pikett.Bereich,4),IF(F34="E",INDEX(T.Pikett.Bereich,1),F34)))),"")</f>
        <v>No</v>
      </c>
      <c r="H34" s="92" t="str">
        <f ca="1">IF(EB.Anwendung&lt;&gt;"",IF(EB.Wochenarbeitszeit=50/24,INDEX(T.Pikett.Bereich,1),IF(DAY(H$10)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G34="B",INDEX(T.Pikett.Bereich,4),IF(G34="E",INDEX(T.Pikett.Bereich,1),G34)))),"")</f>
        <v>No</v>
      </c>
      <c r="I34" s="92" t="str">
        <f ca="1">IF(EB.Anwendung&lt;&gt;"",IF(EB.Wochenarbeitszeit=50/24,INDEX(T.Pikett.Bereich,1),IF(DAY(I$10)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H34="B",INDEX(T.Pikett.Bereich,4),IF(H34="E",INDEX(T.Pikett.Bereich,1),H34)))),"")</f>
        <v>No</v>
      </c>
      <c r="J34" s="92" t="str">
        <f ca="1">IF(EB.Anwendung&lt;&gt;"",IF(EB.Wochenarbeitszeit=50/24,INDEX(T.Pikett.Bereich,1),IF(DAY(J$10)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I34="B",INDEX(T.Pikett.Bereich,4),IF(I34="E",INDEX(T.Pikett.Bereich,1),I34)))),"")</f>
        <v>No</v>
      </c>
      <c r="K34" s="92" t="str">
        <f ca="1">IF(EB.Anwendung&lt;&gt;"",IF(EB.Wochenarbeitszeit=50/24,INDEX(T.Pikett.Bereich,1),IF(DAY(K$10)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J34="B",INDEX(T.Pikett.Bereich,4),IF(J34="E",INDEX(T.Pikett.Bereich,1),J34)))),"")</f>
        <v>No</v>
      </c>
      <c r="L34" s="92" t="str">
        <f ca="1">IF(EB.Anwendung&lt;&gt;"",IF(EB.Wochenarbeitszeit=50/24,INDEX(T.Pikett.Bereich,1),IF(DAY(L$10)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K34="B",INDEX(T.Pikett.Bereich,4),IF(K34="E",INDEX(T.Pikett.Bereich,1),K34)))),"")</f>
        <v>No</v>
      </c>
      <c r="M34" s="92" t="str">
        <f ca="1">IF(EB.Anwendung&lt;&gt;"",IF(EB.Wochenarbeitszeit=50/24,INDEX(T.Pikett.Bereich,1),IF(DAY(M$10)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L34="B",INDEX(T.Pikett.Bereich,4),IF(L34="E",INDEX(T.Pikett.Bereich,1),L34)))),"")</f>
        <v>No</v>
      </c>
      <c r="N34" s="92" t="str">
        <f ca="1">IF(EB.Anwendung&lt;&gt;"",IF(EB.Wochenarbeitszeit=50/24,INDEX(T.Pikett.Bereich,1),IF(DAY(N$10)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M34="B",INDEX(T.Pikett.Bereich,4),IF(M34="E",INDEX(T.Pikett.Bereich,1),M34)))),"")</f>
        <v>No</v>
      </c>
      <c r="O34" s="92" t="str">
        <f ca="1">IF(EB.Anwendung&lt;&gt;"",IF(EB.Wochenarbeitszeit=50/24,INDEX(T.Pikett.Bereich,1),IF(DAY(O$10)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N34="B",INDEX(T.Pikett.Bereich,4),IF(N34="E",INDEX(T.Pikett.Bereich,1),N34)))),"")</f>
        <v>No</v>
      </c>
      <c r="P34" s="92" t="str">
        <f ca="1">IF(EB.Anwendung&lt;&gt;"",IF(EB.Wochenarbeitszeit=50/24,INDEX(T.Pikett.Bereich,1),IF(DAY(P$10)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O34="B",INDEX(T.Pikett.Bereich,4),IF(O34="E",INDEX(T.Pikett.Bereich,1),O34)))),"")</f>
        <v>No</v>
      </c>
      <c r="Q34" s="92" t="str">
        <f ca="1">IF(EB.Anwendung&lt;&gt;"",IF(EB.Wochenarbeitszeit=50/24,INDEX(T.Pikett.Bereich,1),IF(DAY(Q$10)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P34="B",INDEX(T.Pikett.Bereich,4),IF(P34="E",INDEX(T.Pikett.Bereich,1),P34)))),"")</f>
        <v>No</v>
      </c>
      <c r="R34" s="92" t="str">
        <f ca="1">IF(EB.Anwendung&lt;&gt;"",IF(EB.Wochenarbeitszeit=50/24,INDEX(T.Pikett.Bereich,1),IF(DAY(R$10)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Q34="B",INDEX(T.Pikett.Bereich,4),IF(Q34="E",INDEX(T.Pikett.Bereich,1),Q34)))),"")</f>
        <v>No</v>
      </c>
      <c r="S34" s="92" t="str">
        <f ca="1">IF(EB.Anwendung&lt;&gt;"",IF(EB.Wochenarbeitszeit=50/24,INDEX(T.Pikett.Bereich,1),IF(DAY(S$10)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R34="B",INDEX(T.Pikett.Bereich,4),IF(R34="E",INDEX(T.Pikett.Bereich,1),R34)))),"")</f>
        <v>No</v>
      </c>
      <c r="T34" s="92" t="str">
        <f ca="1">IF(EB.Anwendung&lt;&gt;"",IF(EB.Wochenarbeitszeit=50/24,INDEX(T.Pikett.Bereich,1),IF(DAY(T$10)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S34="B",INDEX(T.Pikett.Bereich,4),IF(S34="E",INDEX(T.Pikett.Bereich,1),S34)))),"")</f>
        <v>No</v>
      </c>
      <c r="U34" s="92" t="str">
        <f ca="1">IF(EB.Anwendung&lt;&gt;"",IF(EB.Wochenarbeitszeit=50/24,INDEX(T.Pikett.Bereich,1),IF(DAY(U$10)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T34="B",INDEX(T.Pikett.Bereich,4),IF(T34="E",INDEX(T.Pikett.Bereich,1),T34)))),"")</f>
        <v>No</v>
      </c>
      <c r="V34" s="92" t="str">
        <f ca="1">IF(EB.Anwendung&lt;&gt;"",IF(EB.Wochenarbeitszeit=50/24,INDEX(T.Pikett.Bereich,1),IF(DAY(V$10)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U34="B",INDEX(T.Pikett.Bereich,4),IF(U34="E",INDEX(T.Pikett.Bereich,1),U34)))),"")</f>
        <v>No</v>
      </c>
      <c r="W34" s="92" t="str">
        <f ca="1">IF(EB.Anwendung&lt;&gt;"",IF(EB.Wochenarbeitszeit=50/24,INDEX(T.Pikett.Bereich,1),IF(DAY(W$10)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V34="B",INDEX(T.Pikett.Bereich,4),IF(V34="E",INDEX(T.Pikett.Bereich,1),V34)))),"")</f>
        <v>No</v>
      </c>
      <c r="X34" s="92" t="str">
        <f ca="1">IF(EB.Anwendung&lt;&gt;"",IF(EB.Wochenarbeitszeit=50/24,INDEX(T.Pikett.Bereich,1),IF(DAY(X$10)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W34="B",INDEX(T.Pikett.Bereich,4),IF(W34="E",INDEX(T.Pikett.Bereich,1),W34)))),"")</f>
        <v>No</v>
      </c>
      <c r="Y34" s="92" t="str">
        <f ca="1">IF(EB.Anwendung&lt;&gt;"",IF(EB.Wochenarbeitszeit=50/24,INDEX(T.Pikett.Bereich,1),IF(DAY(Y$10)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X34="B",INDEX(T.Pikett.Bereich,4),IF(X34="E",INDEX(T.Pikett.Bereich,1),X34)))),"")</f>
        <v>No</v>
      </c>
      <c r="Z34" s="92" t="str">
        <f ca="1">IF(EB.Anwendung&lt;&gt;"",IF(EB.Wochenarbeitszeit=50/24,INDEX(T.Pikett.Bereich,1),IF(DAY(Z$10)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Y34="B",INDEX(T.Pikett.Bereich,4),IF(Y34="E",INDEX(T.Pikett.Bereich,1),Y34)))),"")</f>
        <v>No</v>
      </c>
      <c r="AA34" s="92" t="str">
        <f ca="1">IF(EB.Anwendung&lt;&gt;"",IF(EB.Wochenarbeitszeit=50/24,INDEX(T.Pikett.Bereich,1),IF(DAY(AA$10)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Z34="B",INDEX(T.Pikett.Bereich,4),IF(Z34="E",INDEX(T.Pikett.Bereich,1),Z34)))),"")</f>
        <v>No</v>
      </c>
      <c r="AB34" s="92" t="str">
        <f ca="1">IF(EB.Anwendung&lt;&gt;"",IF(EB.Wochenarbeitszeit=50/24,INDEX(T.Pikett.Bereich,1),IF(DAY(A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A34="B",INDEX(T.Pikett.Bereich,4),IF(AA34="E",INDEX(T.Pikett.Bereich,1),AA34)))),"")</f>
        <v>No</v>
      </c>
      <c r="AC34" s="92" t="str">
        <f ca="1">IF(EB.Anwendung&lt;&gt;"",IF(EB.Wochenarbeitszeit=50/24,INDEX(T.Pikett.Bereich,1),IF(DAY(A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B34="B",INDEX(T.Pikett.Bereich,4),IF(AB34="E",INDEX(T.Pikett.Bereich,1),AB34)))),"")</f>
        <v>No</v>
      </c>
      <c r="AD34" s="92" t="str">
        <f ca="1">IF(EB.Anwendung&lt;&gt;"",IF(EB.Wochenarbeitszeit=50/24,INDEX(T.Pikett.Bereich,1),IF(DAY(A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C34="B",INDEX(T.Pikett.Bereich,4),IF(AC34="E",INDEX(T.Pikett.Bereich,1),AC34)))),"")</f>
        <v>No</v>
      </c>
      <c r="AE34" s="92" t="str">
        <f ca="1">IF(EB.Anwendung&lt;&gt;"",IF(EB.Wochenarbeitszeit=50/24,INDEX(T.Pikett.Bereich,1),IF(DAY(A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D34="B",INDEX(T.Pikett.Bereich,4),IF(AD34="E",INDEX(T.Pikett.Bereich,1),AD34)))),"")</f>
        <v>No</v>
      </c>
      <c r="AF34" s="92" t="str">
        <f ca="1">IF(EB.Anwendung&lt;&gt;"",IF(EB.Wochenarbeitszeit=50/24,INDEX(T.Pikett.Bereich,1),IF(DAY(A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E34="B",INDEX(T.Pikett.Bereich,4),IF(AE34="E",INDEX(T.Pikett.Bereich,1),AE34)))),"")</f>
        <v>No</v>
      </c>
      <c r="AG34" s="217" t="str">
        <f ca="1">IF(OFFSET(B34,0,DAY(EOMONTH(Monat.Tag1,0))-1,1,1)="B",INDEX(T.Pikett.Bereich,4),IF(OFFSET(B34,0,DAY(EOMONTH(Monat.Tag1,0))-1,1,1)="E",INDEX(T.Pikett.Bereich,1),OFFSET(B34,0,DAY(EOMONTH(Monat.Tag1,0))-1,1,1)))</f>
        <v>No</v>
      </c>
      <c r="AH34" s="228"/>
      <c r="AI34" s="224"/>
      <c r="AJ34" s="229" t="str">
        <f ca="1">IF(T.50_Vetsuisse,IFERROR(SUMPRODUCT((B34:AF34=INDEX(T.Pikett.Bereich,4))*((B49:AF49)&lt;1/24*5)),0) &amp; " / " &amp; IFERROR(SUMPRODUCT((B34:AF34=INDEX(T.Pikett.Bereich,4))*((B49:AF49)&gt;=1/24*5)),0) &amp; " / " &amp; IFERROR(SUMPRODUCT((B34:AF34=INDEX(T.Pikett.Bereich,4))*((B49:AF49)&lt;1/24*5)),0) + IFERROR(SUMPRODUCT((B34:AF34=INDEX(T.Pikett.Bereich,4))*((B49:AF49)&gt;=1/24*5)),0),
IFERROR(SUMPRODUCT((B34:AF34=INDEX(T.Pikett.Bereich,4))*(WEEKDAY(B10:AF10,2)&lt;6)*(B11:AF11&lt;&gt;0)),0) &amp; " / " &amp; IFERROR(SUMPRODUCT((B34:AF34=INDEX(T.Pikett.Bereich,4))*(WEEKDAY(B10:AF10,2)&gt;5)*(B11:AF11&lt;&gt;0))+SUMPRODUCT((B34:AF34=INDEX(T.Pikett.Bereich,4))*(B11:AF11=0)),0) &amp; " / " &amp; IFERROR(SUMPRODUCT((B34:AF34=INDEX(T.Pikett.Bereich,4))*(WEEKDAY(B10:AF10,2)&lt;6)*(B11:AF11&lt;&gt;0)),0) + IFERROR(SUMPRODUCT((B34:AF34=INDEX(T.Pikett.Bereich,4))*(WEEKDAY(B10:AF10,2)&gt;5)*(B11:AF11&lt;&gt;0))+SUMPRODUCT((B34:AF34=INDEX(T.Pikett.Bereich,4))*(B11:AF11=0)),0))</f>
        <v>0 / 0 / 0</v>
      </c>
      <c r="AK34" s="209"/>
      <c r="AL34" s="209"/>
      <c r="AM34" s="209"/>
      <c r="AN34" s="208"/>
      <c r="AO34" s="209"/>
      <c r="AP34" s="209"/>
      <c r="AQ34" s="119"/>
    </row>
    <row r="35" spans="1:43" s="38" customFormat="1" ht="15" customHeight="1" outlineLevel="1" x14ac:dyDescent="0.2">
      <c r="A35" s="212" t="s">
        <v>74</v>
      </c>
      <c r="B35" s="40"/>
      <c r="C35" s="40"/>
      <c r="D35" s="40"/>
      <c r="E35" s="27"/>
      <c r="F35" s="40"/>
      <c r="G35" s="40"/>
      <c r="H35" s="40"/>
      <c r="I35" s="40"/>
      <c r="J35" s="27"/>
      <c r="K35" s="40"/>
      <c r="L35" s="27"/>
      <c r="M35" s="40"/>
      <c r="N35" s="40"/>
      <c r="O35" s="40"/>
      <c r="P35" s="40"/>
      <c r="Q35" s="27"/>
      <c r="R35" s="40"/>
      <c r="S35" s="27"/>
      <c r="T35" s="27"/>
      <c r="U35" s="40"/>
      <c r="V35" s="40"/>
      <c r="W35" s="40"/>
      <c r="X35" s="27"/>
      <c r="Y35" s="40"/>
      <c r="Z35" s="39"/>
      <c r="AA35" s="40"/>
      <c r="AB35" s="40"/>
      <c r="AC35" s="40"/>
      <c r="AD35" s="40"/>
      <c r="AE35" s="27"/>
      <c r="AF35" s="40"/>
      <c r="AG35" s="205" t="str">
        <f t="shared" si="2"/>
        <v>in</v>
      </c>
      <c r="AH35" s="188"/>
      <c r="AI35" s="213"/>
      <c r="AJ35" s="214"/>
      <c r="AK35" s="209"/>
      <c r="AL35" s="209"/>
      <c r="AM35" s="209"/>
      <c r="AN35" s="208"/>
      <c r="AO35" s="209"/>
      <c r="AP35" s="209"/>
      <c r="AQ35" s="119"/>
    </row>
    <row r="36" spans="1:43" s="38" customFormat="1" ht="15" customHeight="1" outlineLevel="1" x14ac:dyDescent="0.2">
      <c r="A36" s="212" t="s">
        <v>75</v>
      </c>
      <c r="B36" s="40"/>
      <c r="C36" s="40"/>
      <c r="D36" s="40"/>
      <c r="E36" s="27"/>
      <c r="F36" s="40"/>
      <c r="G36" s="40"/>
      <c r="H36" s="40"/>
      <c r="I36" s="40"/>
      <c r="J36" s="27"/>
      <c r="K36" s="40"/>
      <c r="L36" s="27"/>
      <c r="M36" s="40"/>
      <c r="N36" s="40"/>
      <c r="O36" s="40"/>
      <c r="P36" s="40"/>
      <c r="Q36" s="27"/>
      <c r="R36" s="40"/>
      <c r="S36" s="27"/>
      <c r="T36" s="27"/>
      <c r="U36" s="40"/>
      <c r="V36" s="40"/>
      <c r="W36" s="40"/>
      <c r="X36" s="27"/>
      <c r="Y36" s="40"/>
      <c r="Z36" s="39"/>
      <c r="AA36" s="40"/>
      <c r="AB36" s="40"/>
      <c r="AC36" s="40"/>
      <c r="AD36" s="40"/>
      <c r="AE36" s="27"/>
      <c r="AF36" s="40"/>
      <c r="AG36" s="205" t="str">
        <f t="shared" si="2"/>
        <v>out</v>
      </c>
      <c r="AH36" s="188"/>
      <c r="AI36" s="213"/>
      <c r="AJ36" s="214"/>
      <c r="AK36" s="209"/>
      <c r="AL36" s="209"/>
      <c r="AM36" s="209"/>
      <c r="AN36" s="208"/>
      <c r="AO36" s="209"/>
      <c r="AP36" s="209"/>
      <c r="AQ36" s="119"/>
    </row>
    <row r="37" spans="1:43" s="38" customFormat="1" ht="15" customHeight="1" outlineLevel="1" x14ac:dyDescent="0.2">
      <c r="A37" s="212" t="s">
        <v>74</v>
      </c>
      <c r="B37" s="40"/>
      <c r="C37" s="40"/>
      <c r="D37" s="40"/>
      <c r="E37" s="27"/>
      <c r="F37" s="40"/>
      <c r="G37" s="40"/>
      <c r="H37" s="40"/>
      <c r="I37" s="40"/>
      <c r="J37" s="27"/>
      <c r="K37" s="40"/>
      <c r="L37" s="27"/>
      <c r="M37" s="40"/>
      <c r="N37" s="40"/>
      <c r="O37" s="40"/>
      <c r="P37" s="40"/>
      <c r="Q37" s="27"/>
      <c r="R37" s="40"/>
      <c r="S37" s="27"/>
      <c r="T37" s="27"/>
      <c r="U37" s="40"/>
      <c r="V37" s="40"/>
      <c r="W37" s="40"/>
      <c r="X37" s="27"/>
      <c r="Y37" s="40"/>
      <c r="Z37" s="39"/>
      <c r="AA37" s="40"/>
      <c r="AB37" s="40"/>
      <c r="AC37" s="40"/>
      <c r="AD37" s="40"/>
      <c r="AE37" s="27"/>
      <c r="AF37" s="40"/>
      <c r="AG37" s="205" t="str">
        <f t="shared" si="2"/>
        <v>in</v>
      </c>
      <c r="AH37" s="188"/>
      <c r="AI37" s="213"/>
      <c r="AJ37" s="214"/>
      <c r="AK37" s="209"/>
      <c r="AL37" s="209"/>
      <c r="AM37" s="209"/>
      <c r="AN37" s="208"/>
      <c r="AO37" s="209"/>
      <c r="AP37" s="209"/>
      <c r="AQ37" s="119"/>
    </row>
    <row r="38" spans="1:43" s="38" customFormat="1" ht="15" customHeight="1" outlineLevel="1" x14ac:dyDescent="0.2">
      <c r="A38" s="212" t="s">
        <v>75</v>
      </c>
      <c r="B38" s="40"/>
      <c r="C38" s="40"/>
      <c r="D38" s="40"/>
      <c r="E38" s="27"/>
      <c r="F38" s="40"/>
      <c r="G38" s="40"/>
      <c r="H38" s="40"/>
      <c r="I38" s="40"/>
      <c r="J38" s="27"/>
      <c r="K38" s="40"/>
      <c r="L38" s="27"/>
      <c r="M38" s="40"/>
      <c r="N38" s="40"/>
      <c r="O38" s="40"/>
      <c r="P38" s="40"/>
      <c r="Q38" s="27"/>
      <c r="R38" s="40"/>
      <c r="S38" s="27"/>
      <c r="T38" s="27"/>
      <c r="U38" s="40"/>
      <c r="V38" s="40"/>
      <c r="W38" s="40"/>
      <c r="X38" s="27"/>
      <c r="Y38" s="40"/>
      <c r="Z38" s="39"/>
      <c r="AA38" s="40"/>
      <c r="AB38" s="40"/>
      <c r="AC38" s="40"/>
      <c r="AD38" s="40"/>
      <c r="AE38" s="27"/>
      <c r="AF38" s="40"/>
      <c r="AG38" s="205" t="str">
        <f t="shared" si="2"/>
        <v>out</v>
      </c>
      <c r="AH38" s="188"/>
      <c r="AI38" s="213"/>
      <c r="AJ38" s="214"/>
      <c r="AK38" s="209"/>
      <c r="AL38" s="209"/>
      <c r="AM38" s="209"/>
      <c r="AN38" s="208"/>
      <c r="AO38" s="209"/>
      <c r="AP38" s="209"/>
      <c r="AQ38" s="119"/>
    </row>
    <row r="39" spans="1:43" s="38" customFormat="1" ht="15" customHeight="1" outlineLevel="1" x14ac:dyDescent="0.2">
      <c r="A39" s="212" t="s">
        <v>74</v>
      </c>
      <c r="B39" s="40"/>
      <c r="C39" s="40"/>
      <c r="D39" s="40"/>
      <c r="E39" s="27"/>
      <c r="F39" s="40"/>
      <c r="G39" s="40"/>
      <c r="H39" s="40"/>
      <c r="I39" s="40"/>
      <c r="J39" s="27"/>
      <c r="K39" s="40"/>
      <c r="L39" s="27"/>
      <c r="M39" s="40"/>
      <c r="N39" s="40"/>
      <c r="O39" s="40"/>
      <c r="P39" s="40"/>
      <c r="Q39" s="27"/>
      <c r="R39" s="40"/>
      <c r="S39" s="27"/>
      <c r="T39" s="27"/>
      <c r="U39" s="40"/>
      <c r="V39" s="40"/>
      <c r="W39" s="40"/>
      <c r="X39" s="27"/>
      <c r="Y39" s="40"/>
      <c r="Z39" s="39"/>
      <c r="AA39" s="40"/>
      <c r="AB39" s="40"/>
      <c r="AC39" s="40"/>
      <c r="AD39" s="40"/>
      <c r="AE39" s="27"/>
      <c r="AF39" s="40"/>
      <c r="AG39" s="205" t="str">
        <f t="shared" si="2"/>
        <v>in</v>
      </c>
      <c r="AH39" s="188"/>
      <c r="AI39" s="213"/>
      <c r="AJ39" s="214"/>
      <c r="AK39" s="209"/>
      <c r="AL39" s="209"/>
      <c r="AM39" s="209"/>
      <c r="AN39" s="208"/>
      <c r="AO39" s="209"/>
      <c r="AP39" s="209"/>
      <c r="AQ39" s="119"/>
    </row>
    <row r="40" spans="1:43" s="38" customFormat="1" ht="15" customHeight="1" outlineLevel="1" x14ac:dyDescent="0.2">
      <c r="A40" s="212" t="s">
        <v>75</v>
      </c>
      <c r="B40" s="40"/>
      <c r="C40" s="40"/>
      <c r="D40" s="40"/>
      <c r="E40" s="27"/>
      <c r="F40" s="40"/>
      <c r="G40" s="40"/>
      <c r="H40" s="40"/>
      <c r="I40" s="40"/>
      <c r="J40" s="27"/>
      <c r="K40" s="40"/>
      <c r="L40" s="27"/>
      <c r="M40" s="40"/>
      <c r="N40" s="40"/>
      <c r="O40" s="40"/>
      <c r="P40" s="40"/>
      <c r="Q40" s="27"/>
      <c r="R40" s="40"/>
      <c r="S40" s="27"/>
      <c r="T40" s="27"/>
      <c r="U40" s="40"/>
      <c r="V40" s="40"/>
      <c r="W40" s="40"/>
      <c r="X40" s="27"/>
      <c r="Y40" s="40"/>
      <c r="Z40" s="39"/>
      <c r="AA40" s="40"/>
      <c r="AB40" s="40"/>
      <c r="AC40" s="40"/>
      <c r="AD40" s="40"/>
      <c r="AE40" s="27"/>
      <c r="AF40" s="40"/>
      <c r="AG40" s="205" t="str">
        <f t="shared" si="2"/>
        <v>out</v>
      </c>
      <c r="AH40" s="188"/>
      <c r="AI40" s="213"/>
      <c r="AJ40" s="214"/>
      <c r="AK40" s="209"/>
      <c r="AL40" s="209"/>
      <c r="AM40" s="209"/>
      <c r="AN40" s="208"/>
      <c r="AO40" s="209"/>
      <c r="AP40" s="209"/>
      <c r="AQ40" s="119"/>
    </row>
    <row r="41" spans="1:43" s="38" customFormat="1" ht="15" hidden="1" customHeight="1" outlineLevel="1" x14ac:dyDescent="0.2">
      <c r="A41" s="212" t="s">
        <v>74</v>
      </c>
      <c r="B41" s="40"/>
      <c r="C41" s="40"/>
      <c r="D41" s="40"/>
      <c r="E41" s="27"/>
      <c r="F41" s="40"/>
      <c r="G41" s="40"/>
      <c r="H41" s="40"/>
      <c r="I41" s="40"/>
      <c r="J41" s="27"/>
      <c r="K41" s="40"/>
      <c r="L41" s="27"/>
      <c r="M41" s="40"/>
      <c r="N41" s="40"/>
      <c r="O41" s="40"/>
      <c r="P41" s="40"/>
      <c r="Q41" s="27"/>
      <c r="R41" s="40"/>
      <c r="S41" s="27"/>
      <c r="T41" s="27"/>
      <c r="U41" s="40"/>
      <c r="V41" s="40"/>
      <c r="W41" s="40"/>
      <c r="X41" s="27"/>
      <c r="Y41" s="40"/>
      <c r="Z41" s="39"/>
      <c r="AA41" s="40"/>
      <c r="AB41" s="40"/>
      <c r="AC41" s="40"/>
      <c r="AD41" s="40"/>
      <c r="AE41" s="27"/>
      <c r="AF41" s="40"/>
      <c r="AG41" s="205" t="str">
        <f t="shared" si="2"/>
        <v>in</v>
      </c>
      <c r="AH41" s="188"/>
      <c r="AI41" s="213"/>
      <c r="AJ41" s="214"/>
      <c r="AK41" s="209"/>
      <c r="AL41" s="209"/>
      <c r="AM41" s="209"/>
      <c r="AN41" s="208"/>
      <c r="AO41" s="209"/>
      <c r="AP41" s="209"/>
      <c r="AQ41" s="119"/>
    </row>
    <row r="42" spans="1:43" s="38" customFormat="1" ht="15" hidden="1" customHeight="1" outlineLevel="1" x14ac:dyDescent="0.2">
      <c r="A42" s="212" t="s">
        <v>75</v>
      </c>
      <c r="B42" s="40"/>
      <c r="C42" s="40"/>
      <c r="D42" s="40"/>
      <c r="E42" s="27"/>
      <c r="F42" s="40"/>
      <c r="G42" s="40"/>
      <c r="H42" s="40"/>
      <c r="I42" s="40"/>
      <c r="J42" s="27"/>
      <c r="K42" s="40"/>
      <c r="L42" s="27"/>
      <c r="M42" s="40"/>
      <c r="N42" s="40"/>
      <c r="O42" s="40"/>
      <c r="P42" s="40"/>
      <c r="Q42" s="27"/>
      <c r="R42" s="40"/>
      <c r="S42" s="27"/>
      <c r="T42" s="27"/>
      <c r="U42" s="40"/>
      <c r="V42" s="40"/>
      <c r="W42" s="40"/>
      <c r="X42" s="27"/>
      <c r="Y42" s="40"/>
      <c r="Z42" s="39"/>
      <c r="AA42" s="40"/>
      <c r="AB42" s="40"/>
      <c r="AC42" s="40"/>
      <c r="AD42" s="40"/>
      <c r="AE42" s="27"/>
      <c r="AF42" s="40"/>
      <c r="AG42" s="205" t="str">
        <f t="shared" si="2"/>
        <v>out</v>
      </c>
      <c r="AH42" s="188"/>
      <c r="AI42" s="213"/>
      <c r="AJ42" s="214"/>
      <c r="AK42" s="209"/>
      <c r="AL42" s="209"/>
      <c r="AM42" s="209"/>
      <c r="AN42" s="208"/>
      <c r="AO42" s="209"/>
      <c r="AP42" s="209"/>
      <c r="AQ42" s="119"/>
    </row>
    <row r="43" spans="1:43" s="38" customFormat="1" ht="15" hidden="1" customHeight="1" outlineLevel="1" x14ac:dyDescent="0.2">
      <c r="A43" s="212" t="s">
        <v>74</v>
      </c>
      <c r="B43" s="40"/>
      <c r="C43" s="40"/>
      <c r="D43" s="40"/>
      <c r="E43" s="27"/>
      <c r="F43" s="40"/>
      <c r="G43" s="40"/>
      <c r="H43" s="40"/>
      <c r="I43" s="40"/>
      <c r="J43" s="27"/>
      <c r="K43" s="40"/>
      <c r="L43" s="27"/>
      <c r="M43" s="40"/>
      <c r="N43" s="40"/>
      <c r="O43" s="40"/>
      <c r="P43" s="40"/>
      <c r="Q43" s="27"/>
      <c r="R43" s="40"/>
      <c r="S43" s="27"/>
      <c r="T43" s="27"/>
      <c r="U43" s="40"/>
      <c r="V43" s="40"/>
      <c r="W43" s="40"/>
      <c r="X43" s="27"/>
      <c r="Y43" s="40"/>
      <c r="Z43" s="39"/>
      <c r="AA43" s="40"/>
      <c r="AB43" s="40"/>
      <c r="AC43" s="40"/>
      <c r="AD43" s="40"/>
      <c r="AE43" s="27"/>
      <c r="AF43" s="40"/>
      <c r="AG43" s="205" t="str">
        <f t="shared" si="2"/>
        <v>in</v>
      </c>
      <c r="AH43" s="188"/>
      <c r="AI43" s="213"/>
      <c r="AJ43" s="214"/>
      <c r="AK43" s="209"/>
      <c r="AL43" s="209"/>
      <c r="AM43" s="209"/>
      <c r="AN43" s="208"/>
      <c r="AO43" s="209"/>
      <c r="AP43" s="209"/>
      <c r="AQ43" s="119"/>
    </row>
    <row r="44" spans="1:43" s="38" customFormat="1" ht="15" hidden="1" customHeight="1" outlineLevel="1" x14ac:dyDescent="0.2">
      <c r="A44" s="212" t="s">
        <v>75</v>
      </c>
      <c r="B44" s="40"/>
      <c r="C44" s="40"/>
      <c r="D44" s="40"/>
      <c r="E44" s="27"/>
      <c r="F44" s="40"/>
      <c r="G44" s="40"/>
      <c r="H44" s="40"/>
      <c r="I44" s="40"/>
      <c r="J44" s="27"/>
      <c r="K44" s="40"/>
      <c r="L44" s="27"/>
      <c r="M44" s="40"/>
      <c r="N44" s="40"/>
      <c r="O44" s="40"/>
      <c r="P44" s="40"/>
      <c r="Q44" s="27"/>
      <c r="R44" s="40"/>
      <c r="S44" s="27"/>
      <c r="T44" s="27"/>
      <c r="U44" s="40"/>
      <c r="V44" s="40"/>
      <c r="W44" s="40"/>
      <c r="X44" s="27"/>
      <c r="Y44" s="40"/>
      <c r="Z44" s="39"/>
      <c r="AA44" s="40"/>
      <c r="AB44" s="40"/>
      <c r="AC44" s="40"/>
      <c r="AD44" s="40"/>
      <c r="AE44" s="27"/>
      <c r="AF44" s="40"/>
      <c r="AG44" s="205" t="str">
        <f t="shared" si="2"/>
        <v>out</v>
      </c>
      <c r="AH44" s="188"/>
      <c r="AI44" s="213"/>
      <c r="AJ44" s="214"/>
      <c r="AK44" s="209"/>
      <c r="AL44" s="209"/>
      <c r="AM44" s="209"/>
      <c r="AN44" s="208"/>
      <c r="AO44" s="209"/>
      <c r="AP44" s="209"/>
      <c r="AQ44" s="119"/>
    </row>
    <row r="45" spans="1:43" s="38" customFormat="1" ht="15" customHeight="1" outlineLevel="1" x14ac:dyDescent="0.2">
      <c r="A45" s="215" t="s">
        <v>207</v>
      </c>
      <c r="B45" s="216">
        <f>ROUND(((B36-B35)+(B38-B37)+(B40-B39)+(B42-B41)+(B44-B43))*1440,0)/1440</f>
        <v>0</v>
      </c>
      <c r="C45" s="216">
        <f t="shared" ref="C45:AF45" si="9">ROUND(((C36-C35)+(C38-C37)+(C40-C39)+(C42-C41)+(C44-C43))*1440,0)/1440</f>
        <v>0</v>
      </c>
      <c r="D45" s="216">
        <f t="shared" si="9"/>
        <v>0</v>
      </c>
      <c r="E45" s="216">
        <f t="shared" si="9"/>
        <v>0</v>
      </c>
      <c r="F45" s="216">
        <f t="shared" si="9"/>
        <v>0</v>
      </c>
      <c r="G45" s="216">
        <f t="shared" si="9"/>
        <v>0</v>
      </c>
      <c r="H45" s="216">
        <f t="shared" si="9"/>
        <v>0</v>
      </c>
      <c r="I45" s="216">
        <f t="shared" si="9"/>
        <v>0</v>
      </c>
      <c r="J45" s="216">
        <f t="shared" si="9"/>
        <v>0</v>
      </c>
      <c r="K45" s="216">
        <f t="shared" si="9"/>
        <v>0</v>
      </c>
      <c r="L45" s="216">
        <f t="shared" si="9"/>
        <v>0</v>
      </c>
      <c r="M45" s="216">
        <f t="shared" si="9"/>
        <v>0</v>
      </c>
      <c r="N45" s="216">
        <f t="shared" si="9"/>
        <v>0</v>
      </c>
      <c r="O45" s="216">
        <f t="shared" si="9"/>
        <v>0</v>
      </c>
      <c r="P45" s="216">
        <f t="shared" si="9"/>
        <v>0</v>
      </c>
      <c r="Q45" s="216">
        <f t="shared" si="9"/>
        <v>0</v>
      </c>
      <c r="R45" s="216">
        <f t="shared" si="9"/>
        <v>0</v>
      </c>
      <c r="S45" s="216">
        <f t="shared" si="9"/>
        <v>0</v>
      </c>
      <c r="T45" s="216">
        <f t="shared" si="9"/>
        <v>0</v>
      </c>
      <c r="U45" s="216">
        <f t="shared" si="9"/>
        <v>0</v>
      </c>
      <c r="V45" s="216">
        <f t="shared" si="9"/>
        <v>0</v>
      </c>
      <c r="W45" s="216">
        <f t="shared" si="9"/>
        <v>0</v>
      </c>
      <c r="X45" s="216">
        <f t="shared" si="9"/>
        <v>0</v>
      </c>
      <c r="Y45" s="216">
        <f t="shared" si="9"/>
        <v>0</v>
      </c>
      <c r="Z45" s="216">
        <f t="shared" si="9"/>
        <v>0</v>
      </c>
      <c r="AA45" s="216">
        <f t="shared" si="9"/>
        <v>0</v>
      </c>
      <c r="AB45" s="216">
        <f t="shared" si="9"/>
        <v>0</v>
      </c>
      <c r="AC45" s="216">
        <f t="shared" si="9"/>
        <v>0</v>
      </c>
      <c r="AD45" s="216">
        <f t="shared" si="9"/>
        <v>0</v>
      </c>
      <c r="AE45" s="216">
        <f t="shared" si="9"/>
        <v>0</v>
      </c>
      <c r="AF45" s="216">
        <f t="shared" si="9"/>
        <v>0</v>
      </c>
      <c r="AG45" s="217" t="str">
        <f t="shared" si="2"/>
        <v>Total on call standby in/out</v>
      </c>
      <c r="AH45" s="218"/>
      <c r="AI45" s="219">
        <f>SUM(B45:AF45)</f>
        <v>0</v>
      </c>
      <c r="AJ45" s="214"/>
      <c r="AK45" s="209"/>
      <c r="AL45" s="209"/>
      <c r="AM45" s="209"/>
      <c r="AN45" s="208"/>
      <c r="AO45" s="209"/>
      <c r="AP45" s="209"/>
      <c r="AQ45" s="119"/>
    </row>
    <row r="46" spans="1:43" s="38" customFormat="1" ht="3.75" customHeight="1" x14ac:dyDescent="0.2">
      <c r="A46" s="220"/>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213"/>
      <c r="AG46" s="205"/>
      <c r="AH46" s="188"/>
      <c r="AI46" s="213"/>
      <c r="AJ46" s="214"/>
      <c r="AK46" s="209"/>
      <c r="AL46" s="209"/>
      <c r="AM46" s="209"/>
      <c r="AN46" s="208"/>
      <c r="AO46" s="209"/>
      <c r="AP46" s="209"/>
      <c r="AQ46" s="119"/>
    </row>
    <row r="47" spans="1:43" s="38" customFormat="1" ht="16.5" hidden="1" customHeight="1" outlineLevel="1" x14ac:dyDescent="0.2">
      <c r="A47" s="215" t="s">
        <v>209</v>
      </c>
      <c r="B47" s="216">
        <f t="shared" ref="B47:AF47" si="10">IF(B45&gt;0,ROUND((B45-
IF(B35&lt;T.PikettVetsuissebis,MIN(T.PikettVetsuissebis-B35,B36-B35)+IF(B37&lt;T.PikettVetsuissebis,MIN(T.PikettVetsuissebis-B37,B38-B37)+IF(B39&lt;T.PikettVetsuissebis,MIN(T.PikettVetsuissebis-B39,B40-B39)+IF(B41&lt;T.PikettVetsuissebis,MIN(T.PikettVetsuissebis-B41,B42-B41)+IF(B43&lt;T.PikettVetsuissebis,MIN(T.PikettVetsuissebis-B43,B44-B43),0),0),0),0),0))*1440,0)/1440,0)</f>
        <v>0</v>
      </c>
      <c r="C47" s="216">
        <f t="shared" si="10"/>
        <v>0</v>
      </c>
      <c r="D47" s="216">
        <f t="shared" si="10"/>
        <v>0</v>
      </c>
      <c r="E47" s="216">
        <f t="shared" si="10"/>
        <v>0</v>
      </c>
      <c r="F47" s="216">
        <f t="shared" si="10"/>
        <v>0</v>
      </c>
      <c r="G47" s="216">
        <f t="shared" si="10"/>
        <v>0</v>
      </c>
      <c r="H47" s="216">
        <f t="shared" si="10"/>
        <v>0</v>
      </c>
      <c r="I47" s="216">
        <f t="shared" si="10"/>
        <v>0</v>
      </c>
      <c r="J47" s="216">
        <f t="shared" si="10"/>
        <v>0</v>
      </c>
      <c r="K47" s="216">
        <f t="shared" si="10"/>
        <v>0</v>
      </c>
      <c r="L47" s="216">
        <f t="shared" si="10"/>
        <v>0</v>
      </c>
      <c r="M47" s="216">
        <f t="shared" si="10"/>
        <v>0</v>
      </c>
      <c r="N47" s="216">
        <f t="shared" si="10"/>
        <v>0</v>
      </c>
      <c r="O47" s="216">
        <f t="shared" si="10"/>
        <v>0</v>
      </c>
      <c r="P47" s="216">
        <f t="shared" si="10"/>
        <v>0</v>
      </c>
      <c r="Q47" s="216">
        <f t="shared" si="10"/>
        <v>0</v>
      </c>
      <c r="R47" s="216">
        <f t="shared" si="10"/>
        <v>0</v>
      </c>
      <c r="S47" s="216">
        <f t="shared" si="10"/>
        <v>0</v>
      </c>
      <c r="T47" s="216">
        <f t="shared" si="10"/>
        <v>0</v>
      </c>
      <c r="U47" s="216">
        <f t="shared" si="10"/>
        <v>0</v>
      </c>
      <c r="V47" s="216">
        <f t="shared" si="10"/>
        <v>0</v>
      </c>
      <c r="W47" s="216">
        <f t="shared" si="10"/>
        <v>0</v>
      </c>
      <c r="X47" s="216">
        <f t="shared" si="10"/>
        <v>0</v>
      </c>
      <c r="Y47" s="216">
        <f t="shared" si="10"/>
        <v>0</v>
      </c>
      <c r="Z47" s="216">
        <f t="shared" si="10"/>
        <v>0</v>
      </c>
      <c r="AA47" s="216">
        <f t="shared" si="10"/>
        <v>0</v>
      </c>
      <c r="AB47" s="216">
        <f t="shared" si="10"/>
        <v>0</v>
      </c>
      <c r="AC47" s="216">
        <f t="shared" si="10"/>
        <v>0</v>
      </c>
      <c r="AD47" s="216">
        <f t="shared" si="10"/>
        <v>0</v>
      </c>
      <c r="AE47" s="216">
        <f t="shared" si="10"/>
        <v>0</v>
      </c>
      <c r="AF47" s="216">
        <f t="shared" si="10"/>
        <v>0</v>
      </c>
      <c r="AG47" s="217" t="str">
        <f t="shared" si="2"/>
        <v>Total on call hours today</v>
      </c>
      <c r="AH47" s="188"/>
      <c r="AI47" s="213"/>
      <c r="AJ47" s="214"/>
      <c r="AK47" s="209"/>
      <c r="AL47" s="209"/>
      <c r="AM47" s="209"/>
      <c r="AN47" s="208"/>
      <c r="AO47" s="209"/>
      <c r="AP47" s="209"/>
      <c r="AQ47" s="119"/>
    </row>
    <row r="48" spans="1:43" s="38" customFormat="1" ht="16.5" hidden="1" customHeight="1" outlineLevel="1" x14ac:dyDescent="0.2">
      <c r="A48" s="215" t="s">
        <v>208</v>
      </c>
      <c r="B48" s="225">
        <f t="shared" ref="B48:AF48" si="11">B45-B47</f>
        <v>0</v>
      </c>
      <c r="C48" s="225">
        <f t="shared" si="11"/>
        <v>0</v>
      </c>
      <c r="D48" s="225">
        <f t="shared" si="11"/>
        <v>0</v>
      </c>
      <c r="E48" s="225">
        <f t="shared" si="11"/>
        <v>0</v>
      </c>
      <c r="F48" s="225">
        <f t="shared" si="11"/>
        <v>0</v>
      </c>
      <c r="G48" s="225">
        <f t="shared" si="11"/>
        <v>0</v>
      </c>
      <c r="H48" s="225">
        <f t="shared" si="11"/>
        <v>0</v>
      </c>
      <c r="I48" s="225">
        <f t="shared" si="11"/>
        <v>0</v>
      </c>
      <c r="J48" s="225">
        <f t="shared" si="11"/>
        <v>0</v>
      </c>
      <c r="K48" s="225">
        <f t="shared" si="11"/>
        <v>0</v>
      </c>
      <c r="L48" s="225">
        <f t="shared" si="11"/>
        <v>0</v>
      </c>
      <c r="M48" s="225">
        <f t="shared" si="11"/>
        <v>0</v>
      </c>
      <c r="N48" s="225">
        <f t="shared" si="11"/>
        <v>0</v>
      </c>
      <c r="O48" s="225">
        <f t="shared" si="11"/>
        <v>0</v>
      </c>
      <c r="P48" s="225">
        <f t="shared" si="11"/>
        <v>0</v>
      </c>
      <c r="Q48" s="225">
        <f t="shared" si="11"/>
        <v>0</v>
      </c>
      <c r="R48" s="225">
        <f t="shared" si="11"/>
        <v>0</v>
      </c>
      <c r="S48" s="225">
        <f t="shared" si="11"/>
        <v>0</v>
      </c>
      <c r="T48" s="225">
        <f t="shared" si="11"/>
        <v>0</v>
      </c>
      <c r="U48" s="225">
        <f t="shared" si="11"/>
        <v>0</v>
      </c>
      <c r="V48" s="225">
        <f t="shared" si="11"/>
        <v>0</v>
      </c>
      <c r="W48" s="225">
        <f t="shared" si="11"/>
        <v>0</v>
      </c>
      <c r="X48" s="225">
        <f t="shared" si="11"/>
        <v>0</v>
      </c>
      <c r="Y48" s="225">
        <f t="shared" si="11"/>
        <v>0</v>
      </c>
      <c r="Z48" s="225">
        <f t="shared" si="11"/>
        <v>0</v>
      </c>
      <c r="AA48" s="225">
        <f t="shared" si="11"/>
        <v>0</v>
      </c>
      <c r="AB48" s="225">
        <f t="shared" si="11"/>
        <v>0</v>
      </c>
      <c r="AC48" s="225">
        <f t="shared" si="11"/>
        <v>0</v>
      </c>
      <c r="AD48" s="225">
        <f t="shared" si="11"/>
        <v>0</v>
      </c>
      <c r="AE48" s="225">
        <f t="shared" si="11"/>
        <v>0</v>
      </c>
      <c r="AF48" s="225">
        <f t="shared" si="11"/>
        <v>0</v>
      </c>
      <c r="AG48" s="217" t="str">
        <f t="shared" si="2"/>
        <v>Total on call hours yesterday</v>
      </c>
      <c r="AH48" s="188"/>
      <c r="AI48" s="213"/>
      <c r="AJ48" s="214"/>
      <c r="AK48" s="209"/>
      <c r="AL48" s="209"/>
      <c r="AM48" s="230">
        <f ca="1">IF(EB.Anwendung&lt;&gt;"",IF(MONTH(Monat.Tag1)=12,0,IF(MONTH(Monat.Tag1)=1,February!Monat.PikettgesternTag1,IF(MONTH(Monat.Tag1)=2,March!Monat.PikettgesternTag1,IF(MONTH(Monat.Tag1)=3,April!Monat.PikettgesternTag1,IF(MONTH(Monat.Tag1)=4,May!Monat.PikettgesternTag1,IF(MONTH(Monat.Tag1)=5,June!Monat.PikettgesternTag1,IF(MONTH(Monat.Tag1)=6,July!Monat.PikettgesternTag1,IF(MONTH(Monat.Tag1)=7,August!Monat.PikettgesternTag1,IF(MONTH(Monat.Tag1)=8,September!Monat.PikettgesternTag1,IF(MONTH(Monat.Tag1)=9,October!Monat.PikettgesternTag1,IF(MONTH(Monat.Tag1)=10,November!Monat.PikettgesternTag1,IF(MONTH(Monat.Tag1)=11,December!Monat.PikettgesternTag1,"")))))))))))),"")</f>
        <v>0</v>
      </c>
      <c r="AN48" s="208"/>
      <c r="AO48" s="209"/>
      <c r="AP48" s="209"/>
      <c r="AQ48" s="119"/>
    </row>
    <row r="49" spans="1:43" s="38" customFormat="1" ht="16.5" hidden="1" customHeight="1" outlineLevel="1" x14ac:dyDescent="0.2">
      <c r="A49" s="215" t="s">
        <v>210</v>
      </c>
      <c r="B49" s="216">
        <f t="shared" ref="B49:AF49" si="12">B47+IF(B$10=EOMONTH(B$10,0),$AM48,C48)</f>
        <v>0</v>
      </c>
      <c r="C49" s="216">
        <f t="shared" si="12"/>
        <v>0</v>
      </c>
      <c r="D49" s="216">
        <f t="shared" si="12"/>
        <v>0</v>
      </c>
      <c r="E49" s="216">
        <f t="shared" si="12"/>
        <v>0</v>
      </c>
      <c r="F49" s="216">
        <f t="shared" si="12"/>
        <v>0</v>
      </c>
      <c r="G49" s="216">
        <f t="shared" si="12"/>
        <v>0</v>
      </c>
      <c r="H49" s="216">
        <f t="shared" si="12"/>
        <v>0</v>
      </c>
      <c r="I49" s="216">
        <f t="shared" si="12"/>
        <v>0</v>
      </c>
      <c r="J49" s="216">
        <f t="shared" si="12"/>
        <v>0</v>
      </c>
      <c r="K49" s="216">
        <f t="shared" si="12"/>
        <v>0</v>
      </c>
      <c r="L49" s="216">
        <f t="shared" si="12"/>
        <v>0</v>
      </c>
      <c r="M49" s="216">
        <f t="shared" si="12"/>
        <v>0</v>
      </c>
      <c r="N49" s="216">
        <f t="shared" si="12"/>
        <v>0</v>
      </c>
      <c r="O49" s="216">
        <f t="shared" si="12"/>
        <v>0</v>
      </c>
      <c r="P49" s="216">
        <f t="shared" si="12"/>
        <v>0</v>
      </c>
      <c r="Q49" s="216">
        <f t="shared" si="12"/>
        <v>0</v>
      </c>
      <c r="R49" s="216">
        <f t="shared" si="12"/>
        <v>0</v>
      </c>
      <c r="S49" s="216">
        <f t="shared" si="12"/>
        <v>0</v>
      </c>
      <c r="T49" s="216">
        <f t="shared" si="12"/>
        <v>0</v>
      </c>
      <c r="U49" s="216">
        <f t="shared" si="12"/>
        <v>0</v>
      </c>
      <c r="V49" s="216">
        <f t="shared" si="12"/>
        <v>0</v>
      </c>
      <c r="W49" s="216">
        <f t="shared" si="12"/>
        <v>0</v>
      </c>
      <c r="X49" s="216">
        <f t="shared" si="12"/>
        <v>0</v>
      </c>
      <c r="Y49" s="216">
        <f t="shared" si="12"/>
        <v>0</v>
      </c>
      <c r="Z49" s="216">
        <f t="shared" si="12"/>
        <v>0</v>
      </c>
      <c r="AA49" s="216">
        <f t="shared" si="12"/>
        <v>0</v>
      </c>
      <c r="AB49" s="216">
        <f t="shared" si="12"/>
        <v>0</v>
      </c>
      <c r="AC49" s="216">
        <f t="shared" si="12"/>
        <v>0</v>
      </c>
      <c r="AD49" s="216">
        <f t="shared" si="12"/>
        <v>0</v>
      </c>
      <c r="AE49" s="216">
        <f t="shared" si="12"/>
        <v>0</v>
      </c>
      <c r="AF49" s="216">
        <f t="shared" ca="1" si="12"/>
        <v>0</v>
      </c>
      <c r="AG49" s="217" t="str">
        <f t="shared" si="2"/>
        <v>Total on call standby hours</v>
      </c>
      <c r="AH49" s="218"/>
      <c r="AI49" s="219">
        <f ca="1">SUM(B49:AF49)</f>
        <v>0</v>
      </c>
      <c r="AJ49" s="214"/>
      <c r="AK49" s="209"/>
      <c r="AL49" s="209"/>
      <c r="AM49" s="209"/>
      <c r="AN49" s="208"/>
      <c r="AO49" s="209"/>
      <c r="AP49" s="209"/>
      <c r="AQ49" s="119"/>
    </row>
    <row r="50" spans="1:43" s="38" customFormat="1" ht="3.75" customHeight="1" collapsed="1" x14ac:dyDescent="0.2">
      <c r="A50" s="231"/>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2"/>
      <c r="AG50" s="232"/>
      <c r="AH50" s="233"/>
      <c r="AI50" s="222"/>
      <c r="AJ50" s="214"/>
      <c r="AK50" s="209"/>
      <c r="AL50" s="209"/>
      <c r="AM50" s="209"/>
      <c r="AN50" s="208"/>
      <c r="AO50" s="209"/>
      <c r="AP50" s="209"/>
      <c r="AQ50" s="119"/>
    </row>
    <row r="51" spans="1:43" s="38" customFormat="1" ht="15" customHeight="1" x14ac:dyDescent="0.2">
      <c r="A51" s="215" t="s">
        <v>76</v>
      </c>
      <c r="B51" s="234">
        <f>ROUND((B23+B45+B84+SUM(B86:B95)+IF(OR(T.50_Vetsuisse,T.ServiceCenterIrchel),B71,0))*1440,0)/1440</f>
        <v>0</v>
      </c>
      <c r="C51" s="234">
        <f t="shared" ref="C51:AF51" si="13">ROUND((C23+C45+C84+SUM(C86:C95)+IF(OR(T.50_Vetsuisse,T.ServiceCenterIrchel),C71,0))*1440,0)/1440</f>
        <v>0</v>
      </c>
      <c r="D51" s="234">
        <f t="shared" si="13"/>
        <v>0</v>
      </c>
      <c r="E51" s="235">
        <f t="shared" si="13"/>
        <v>0</v>
      </c>
      <c r="F51" s="234">
        <f t="shared" si="13"/>
        <v>0</v>
      </c>
      <c r="G51" s="234">
        <f t="shared" si="13"/>
        <v>0</v>
      </c>
      <c r="H51" s="234">
        <f t="shared" si="13"/>
        <v>0</v>
      </c>
      <c r="I51" s="234">
        <f t="shared" si="13"/>
        <v>0</v>
      </c>
      <c r="J51" s="236">
        <f t="shared" si="13"/>
        <v>0</v>
      </c>
      <c r="K51" s="234">
        <f t="shared" si="13"/>
        <v>0</v>
      </c>
      <c r="L51" s="236">
        <f t="shared" si="13"/>
        <v>0</v>
      </c>
      <c r="M51" s="234">
        <f t="shared" si="13"/>
        <v>0</v>
      </c>
      <c r="N51" s="234">
        <f t="shared" si="13"/>
        <v>0</v>
      </c>
      <c r="O51" s="234">
        <f t="shared" si="13"/>
        <v>0</v>
      </c>
      <c r="P51" s="234">
        <f t="shared" si="13"/>
        <v>0</v>
      </c>
      <c r="Q51" s="236">
        <f t="shared" si="13"/>
        <v>0</v>
      </c>
      <c r="R51" s="234">
        <f t="shared" si="13"/>
        <v>0</v>
      </c>
      <c r="S51" s="236">
        <f t="shared" si="13"/>
        <v>0</v>
      </c>
      <c r="T51" s="236">
        <f t="shared" si="13"/>
        <v>0</v>
      </c>
      <c r="U51" s="234">
        <f t="shared" si="13"/>
        <v>0</v>
      </c>
      <c r="V51" s="234">
        <f t="shared" si="13"/>
        <v>0</v>
      </c>
      <c r="W51" s="234">
        <f t="shared" si="13"/>
        <v>0</v>
      </c>
      <c r="X51" s="236">
        <f t="shared" si="13"/>
        <v>0</v>
      </c>
      <c r="Y51" s="234">
        <f t="shared" si="13"/>
        <v>0</v>
      </c>
      <c r="Z51" s="237">
        <f t="shared" si="13"/>
        <v>0</v>
      </c>
      <c r="AA51" s="234">
        <f t="shared" si="13"/>
        <v>0</v>
      </c>
      <c r="AB51" s="234">
        <f t="shared" si="13"/>
        <v>0</v>
      </c>
      <c r="AC51" s="234">
        <f t="shared" si="13"/>
        <v>0</v>
      </c>
      <c r="AD51" s="234">
        <f t="shared" si="13"/>
        <v>0</v>
      </c>
      <c r="AE51" s="236">
        <f t="shared" si="13"/>
        <v>0</v>
      </c>
      <c r="AF51" s="234">
        <f t="shared" si="13"/>
        <v>0</v>
      </c>
      <c r="AG51" s="217" t="str">
        <f t="shared" si="2"/>
        <v>Actual hours worked</v>
      </c>
      <c r="AH51" s="218"/>
      <c r="AI51" s="238">
        <f>SUM(B51:AF51)</f>
        <v>0</v>
      </c>
      <c r="AJ51" s="214"/>
      <c r="AK51" s="209"/>
      <c r="AL51" s="209"/>
      <c r="AM51" s="209"/>
      <c r="AN51" s="239">
        <f ca="1">IF(WEEKDAY(EOMONTH(Monat.Tag1,0),2)=7,0,MAX(0,SUM(OFFSET(B51,0,DAY(EOMONTH(Monat.Tag1,0))-WEEKDAY(EOMONTH(Monat.Tag1,0),2),1,WEEKDAY(EOMONTH(Monat.Tag1,0),2)))))</f>
        <v>0</v>
      </c>
      <c r="AO51" s="209"/>
      <c r="AP51" s="209"/>
      <c r="AQ51" s="119"/>
    </row>
    <row r="52" spans="1:43" s="38" customFormat="1" ht="15" customHeight="1" outlineLevel="1" x14ac:dyDescent="0.2">
      <c r="A52" s="212" t="s">
        <v>211</v>
      </c>
      <c r="B52" s="78">
        <f t="shared" ref="B52:AF52" ca="1" si="14">IF(B$12=0,0,ROUND(INDEX(Monat.RAZ1_7.Bereich,WEEKDAY(B$10,2))*B$11*1440,0)/1440)</f>
        <v>0</v>
      </c>
      <c r="C52" s="78">
        <f t="shared" ca="1" si="14"/>
        <v>0</v>
      </c>
      <c r="D52" s="79">
        <f t="shared" ca="1" si="14"/>
        <v>0</v>
      </c>
      <c r="E52" s="78">
        <f t="shared" ca="1" si="14"/>
        <v>0.35</v>
      </c>
      <c r="F52" s="79">
        <f t="shared" ca="1" si="14"/>
        <v>0.35</v>
      </c>
      <c r="G52" s="79">
        <f t="shared" ca="1" si="14"/>
        <v>0.35</v>
      </c>
      <c r="H52" s="79">
        <f t="shared" ca="1" si="14"/>
        <v>0.35</v>
      </c>
      <c r="I52" s="79">
        <f t="shared" ca="1" si="14"/>
        <v>0.35</v>
      </c>
      <c r="J52" s="78">
        <f t="shared" ca="1" si="14"/>
        <v>0</v>
      </c>
      <c r="K52" s="79">
        <f t="shared" ca="1" si="14"/>
        <v>0</v>
      </c>
      <c r="L52" s="78">
        <f t="shared" ca="1" si="14"/>
        <v>0.35</v>
      </c>
      <c r="M52" s="79">
        <f t="shared" ca="1" si="14"/>
        <v>0.35</v>
      </c>
      <c r="N52" s="79">
        <f t="shared" ca="1" si="14"/>
        <v>0.35</v>
      </c>
      <c r="O52" s="79">
        <f t="shared" ca="1" si="14"/>
        <v>0.35</v>
      </c>
      <c r="P52" s="79">
        <f t="shared" ca="1" si="14"/>
        <v>0.35</v>
      </c>
      <c r="Q52" s="78">
        <f t="shared" ca="1" si="14"/>
        <v>0</v>
      </c>
      <c r="R52" s="79">
        <f t="shared" ca="1" si="14"/>
        <v>0</v>
      </c>
      <c r="S52" s="78">
        <f t="shared" ca="1" si="14"/>
        <v>0.35</v>
      </c>
      <c r="T52" s="78">
        <f t="shared" ca="1" si="14"/>
        <v>0.35</v>
      </c>
      <c r="U52" s="79">
        <f t="shared" ca="1" si="14"/>
        <v>0.25</v>
      </c>
      <c r="V52" s="79">
        <f t="shared" ca="1" si="14"/>
        <v>0</v>
      </c>
      <c r="W52" s="79">
        <f t="shared" ca="1" si="14"/>
        <v>0.35</v>
      </c>
      <c r="X52" s="78">
        <f t="shared" ca="1" si="14"/>
        <v>0</v>
      </c>
      <c r="Y52" s="79">
        <f t="shared" ca="1" si="14"/>
        <v>0</v>
      </c>
      <c r="Z52" s="80">
        <f t="shared" ca="1" si="14"/>
        <v>0.35</v>
      </c>
      <c r="AA52" s="79">
        <f t="shared" ca="1" si="14"/>
        <v>0.35</v>
      </c>
      <c r="AB52" s="79">
        <f t="shared" ca="1" si="14"/>
        <v>0.35</v>
      </c>
      <c r="AC52" s="79">
        <f t="shared" ca="1" si="14"/>
        <v>0.35</v>
      </c>
      <c r="AD52" s="79">
        <f t="shared" ca="1" si="14"/>
        <v>0.35</v>
      </c>
      <c r="AE52" s="78">
        <f t="shared" ca="1" si="14"/>
        <v>0</v>
      </c>
      <c r="AF52" s="79">
        <f t="shared" ca="1" si="14"/>
        <v>0</v>
      </c>
      <c r="AG52" s="240" t="str">
        <f t="shared" si="2"/>
        <v>Standardized hours (Info)</v>
      </c>
      <c r="AH52" s="218"/>
      <c r="AI52" s="213"/>
      <c r="AJ52" s="214"/>
      <c r="AK52" s="209"/>
      <c r="AL52" s="209"/>
      <c r="AM52" s="209"/>
      <c r="AN52" s="208"/>
      <c r="AO52" s="209"/>
      <c r="AP52" s="209"/>
      <c r="AQ52" s="119"/>
    </row>
    <row r="53" spans="1:43" s="38" customFormat="1" ht="15" customHeight="1" x14ac:dyDescent="0.2">
      <c r="A53" s="212" t="s">
        <v>212</v>
      </c>
      <c r="B53" s="241">
        <f t="shared" ref="B53:AF53" ca="1" si="15">IF(B$12=0,0,ROUND(INDEX(EB.AZSOLLTag100.Bereich,MATCH(INDEX(EB.Monate.Bereich,MONTH(Monat.Tag1)),EB.Monate.Bereich,0))*B$11*IF(WEEKDAY(B$10,2)&gt;5,0,1)*$V$2/100*1440,0)/1440)</f>
        <v>0</v>
      </c>
      <c r="C53" s="241">
        <f t="shared" ca="1" si="15"/>
        <v>0</v>
      </c>
      <c r="D53" s="241">
        <f t="shared" ca="1" si="15"/>
        <v>0</v>
      </c>
      <c r="E53" s="241">
        <f t="shared" ca="1" si="15"/>
        <v>0.35</v>
      </c>
      <c r="F53" s="241">
        <f t="shared" ca="1" si="15"/>
        <v>0.35</v>
      </c>
      <c r="G53" s="241">
        <f t="shared" ca="1" si="15"/>
        <v>0.35</v>
      </c>
      <c r="H53" s="241">
        <f t="shared" ca="1" si="15"/>
        <v>0.35</v>
      </c>
      <c r="I53" s="241">
        <f t="shared" ca="1" si="15"/>
        <v>0.35</v>
      </c>
      <c r="J53" s="241">
        <f t="shared" ca="1" si="15"/>
        <v>0</v>
      </c>
      <c r="K53" s="241">
        <f t="shared" ca="1" si="15"/>
        <v>0</v>
      </c>
      <c r="L53" s="241">
        <f t="shared" ca="1" si="15"/>
        <v>0.35</v>
      </c>
      <c r="M53" s="241">
        <f t="shared" ca="1" si="15"/>
        <v>0.35</v>
      </c>
      <c r="N53" s="241">
        <f t="shared" ca="1" si="15"/>
        <v>0.35</v>
      </c>
      <c r="O53" s="241">
        <f t="shared" ca="1" si="15"/>
        <v>0.35</v>
      </c>
      <c r="P53" s="241">
        <f t="shared" ca="1" si="15"/>
        <v>0.35</v>
      </c>
      <c r="Q53" s="241">
        <f t="shared" ca="1" si="15"/>
        <v>0</v>
      </c>
      <c r="R53" s="241">
        <f t="shared" ca="1" si="15"/>
        <v>0</v>
      </c>
      <c r="S53" s="241">
        <f t="shared" ca="1" si="15"/>
        <v>0.35</v>
      </c>
      <c r="T53" s="241">
        <f t="shared" ca="1" si="15"/>
        <v>0.35</v>
      </c>
      <c r="U53" s="241">
        <f t="shared" ca="1" si="15"/>
        <v>0.25</v>
      </c>
      <c r="V53" s="241">
        <f t="shared" ca="1" si="15"/>
        <v>0</v>
      </c>
      <c r="W53" s="241">
        <f t="shared" ca="1" si="15"/>
        <v>0.35</v>
      </c>
      <c r="X53" s="241">
        <f t="shared" ca="1" si="15"/>
        <v>0</v>
      </c>
      <c r="Y53" s="241">
        <f t="shared" ca="1" si="15"/>
        <v>0</v>
      </c>
      <c r="Z53" s="241">
        <f t="shared" ca="1" si="15"/>
        <v>0.35</v>
      </c>
      <c r="AA53" s="241">
        <f t="shared" ca="1" si="15"/>
        <v>0.35</v>
      </c>
      <c r="AB53" s="241">
        <f t="shared" ca="1" si="15"/>
        <v>0.35</v>
      </c>
      <c r="AC53" s="241">
        <f t="shared" ca="1" si="15"/>
        <v>0.35</v>
      </c>
      <c r="AD53" s="241">
        <f t="shared" ca="1" si="15"/>
        <v>0.35</v>
      </c>
      <c r="AE53" s="241">
        <f t="shared" ca="1" si="15"/>
        <v>0</v>
      </c>
      <c r="AF53" s="241">
        <f t="shared" ca="1" si="15"/>
        <v>0</v>
      </c>
      <c r="AG53" s="205" t="str">
        <f t="shared" si="2"/>
        <v>Req. hours of work FTE</v>
      </c>
      <c r="AH53" s="218"/>
      <c r="AI53" s="238">
        <f ca="1">SUM(B53:AF53)</f>
        <v>6.549999999999998</v>
      </c>
      <c r="AJ53" s="214"/>
      <c r="AK53" s="209"/>
      <c r="AL53" s="209"/>
      <c r="AM53" s="209"/>
      <c r="AN53" s="208"/>
      <c r="AO53" s="209"/>
      <c r="AP53" s="209"/>
      <c r="AQ53" s="119"/>
    </row>
    <row r="54" spans="1:43" s="38" customFormat="1" ht="15" hidden="1" customHeight="1" outlineLevel="1" x14ac:dyDescent="0.2">
      <c r="A54" s="212" t="s">
        <v>213</v>
      </c>
      <c r="B54" s="241">
        <f t="shared" ref="B54:AF54" ca="1" si="16">ROUND(INDEX(EB.AZSOLLTag100.Bereich,MATCH(INDEX(EB.Monate.Bereich,MONTH(Monat.Tag1)),EB.Monate.Bereich,0))*B$11*IF(WEEKDAY(B$10,2)&gt;5,0,1)*1440,0)/1440</f>
        <v>0</v>
      </c>
      <c r="C54" s="241">
        <f t="shared" ca="1" si="16"/>
        <v>0</v>
      </c>
      <c r="D54" s="242">
        <f t="shared" ca="1" si="16"/>
        <v>0</v>
      </c>
      <c r="E54" s="241">
        <f t="shared" ca="1" si="16"/>
        <v>0.35</v>
      </c>
      <c r="F54" s="242">
        <f t="shared" ca="1" si="16"/>
        <v>0.35</v>
      </c>
      <c r="G54" s="242">
        <f t="shared" ca="1" si="16"/>
        <v>0.35</v>
      </c>
      <c r="H54" s="242">
        <f t="shared" ca="1" si="16"/>
        <v>0.35</v>
      </c>
      <c r="I54" s="242">
        <f t="shared" ca="1" si="16"/>
        <v>0.35</v>
      </c>
      <c r="J54" s="241">
        <f t="shared" ca="1" si="16"/>
        <v>0</v>
      </c>
      <c r="K54" s="242">
        <f t="shared" ca="1" si="16"/>
        <v>0</v>
      </c>
      <c r="L54" s="241">
        <f t="shared" ca="1" si="16"/>
        <v>0.35</v>
      </c>
      <c r="M54" s="242">
        <f t="shared" ca="1" si="16"/>
        <v>0.35</v>
      </c>
      <c r="N54" s="242">
        <f t="shared" ca="1" si="16"/>
        <v>0.35</v>
      </c>
      <c r="O54" s="242">
        <f t="shared" ca="1" si="16"/>
        <v>0.35</v>
      </c>
      <c r="P54" s="242">
        <f t="shared" ca="1" si="16"/>
        <v>0.35</v>
      </c>
      <c r="Q54" s="241">
        <f t="shared" ca="1" si="16"/>
        <v>0</v>
      </c>
      <c r="R54" s="242">
        <f t="shared" ca="1" si="16"/>
        <v>0</v>
      </c>
      <c r="S54" s="241">
        <f t="shared" ca="1" si="16"/>
        <v>0.35</v>
      </c>
      <c r="T54" s="241">
        <f t="shared" ca="1" si="16"/>
        <v>0.35</v>
      </c>
      <c r="U54" s="242">
        <f t="shared" ca="1" si="16"/>
        <v>0.25</v>
      </c>
      <c r="V54" s="242">
        <f t="shared" ca="1" si="16"/>
        <v>0</v>
      </c>
      <c r="W54" s="242">
        <f t="shared" ca="1" si="16"/>
        <v>0.35</v>
      </c>
      <c r="X54" s="241">
        <f t="shared" ca="1" si="16"/>
        <v>0</v>
      </c>
      <c r="Y54" s="242">
        <f t="shared" ca="1" si="16"/>
        <v>0</v>
      </c>
      <c r="Z54" s="243">
        <f t="shared" ca="1" si="16"/>
        <v>0.35</v>
      </c>
      <c r="AA54" s="242">
        <f t="shared" ca="1" si="16"/>
        <v>0.35</v>
      </c>
      <c r="AB54" s="242">
        <f t="shared" ca="1" si="16"/>
        <v>0.35</v>
      </c>
      <c r="AC54" s="242">
        <f t="shared" ca="1" si="16"/>
        <v>0.35</v>
      </c>
      <c r="AD54" s="242">
        <f t="shared" ca="1" si="16"/>
        <v>0.35</v>
      </c>
      <c r="AE54" s="241">
        <f t="shared" ca="1" si="16"/>
        <v>0</v>
      </c>
      <c r="AF54" s="242">
        <f t="shared" ca="1" si="16"/>
        <v>0</v>
      </c>
      <c r="AG54" s="205" t="str">
        <f t="shared" si="2"/>
        <v>Req. hours of work 100%</v>
      </c>
      <c r="AH54" s="218"/>
      <c r="AI54" s="238">
        <f ca="1">SUM(B54:AF54)</f>
        <v>6.549999999999998</v>
      </c>
      <c r="AJ54" s="214"/>
      <c r="AK54" s="209"/>
      <c r="AL54" s="209"/>
      <c r="AM54" s="209"/>
      <c r="AN54" s="208"/>
      <c r="AO54" s="209"/>
      <c r="AP54" s="209"/>
      <c r="AQ54" s="119"/>
    </row>
    <row r="55" spans="1:43" s="38" customFormat="1" ht="15" customHeight="1" collapsed="1" x14ac:dyDescent="0.2">
      <c r="A55" s="244" t="s">
        <v>77</v>
      </c>
      <c r="B55" s="234">
        <f ca="1">ROUND((B51-B53)*1440,0)/1440</f>
        <v>0</v>
      </c>
      <c r="C55" s="234">
        <f t="shared" ref="C55:AF55" ca="1" si="17">ROUND((C51-C53)*1440,0)/1440</f>
        <v>0</v>
      </c>
      <c r="D55" s="234">
        <f t="shared" ca="1" si="17"/>
        <v>0</v>
      </c>
      <c r="E55" s="236">
        <f t="shared" ca="1" si="17"/>
        <v>-0.35</v>
      </c>
      <c r="F55" s="234">
        <f t="shared" ca="1" si="17"/>
        <v>-0.35</v>
      </c>
      <c r="G55" s="234">
        <f t="shared" ca="1" si="17"/>
        <v>-0.35</v>
      </c>
      <c r="H55" s="234">
        <f t="shared" ca="1" si="17"/>
        <v>-0.35</v>
      </c>
      <c r="I55" s="234">
        <f t="shared" ca="1" si="17"/>
        <v>-0.35</v>
      </c>
      <c r="J55" s="236">
        <f t="shared" ca="1" si="17"/>
        <v>0</v>
      </c>
      <c r="K55" s="234">
        <f t="shared" ca="1" si="17"/>
        <v>0</v>
      </c>
      <c r="L55" s="236">
        <f t="shared" ca="1" si="17"/>
        <v>-0.35</v>
      </c>
      <c r="M55" s="234">
        <f t="shared" ca="1" si="17"/>
        <v>-0.35</v>
      </c>
      <c r="N55" s="234">
        <f t="shared" ca="1" si="17"/>
        <v>-0.35</v>
      </c>
      <c r="O55" s="234">
        <f t="shared" ca="1" si="17"/>
        <v>-0.35</v>
      </c>
      <c r="P55" s="234">
        <f t="shared" ca="1" si="17"/>
        <v>-0.35</v>
      </c>
      <c r="Q55" s="236">
        <f t="shared" ca="1" si="17"/>
        <v>0</v>
      </c>
      <c r="R55" s="234">
        <f t="shared" ca="1" si="17"/>
        <v>0</v>
      </c>
      <c r="S55" s="236">
        <f t="shared" ca="1" si="17"/>
        <v>-0.35</v>
      </c>
      <c r="T55" s="236">
        <f t="shared" ca="1" si="17"/>
        <v>-0.35</v>
      </c>
      <c r="U55" s="234">
        <f t="shared" ca="1" si="17"/>
        <v>-0.25</v>
      </c>
      <c r="V55" s="234">
        <f t="shared" ca="1" si="17"/>
        <v>0</v>
      </c>
      <c r="W55" s="234">
        <f t="shared" ca="1" si="17"/>
        <v>-0.35</v>
      </c>
      <c r="X55" s="236">
        <f t="shared" ca="1" si="17"/>
        <v>0</v>
      </c>
      <c r="Y55" s="234">
        <f t="shared" ca="1" si="17"/>
        <v>0</v>
      </c>
      <c r="Z55" s="237">
        <f t="shared" ca="1" si="17"/>
        <v>-0.35</v>
      </c>
      <c r="AA55" s="234">
        <f t="shared" ca="1" si="17"/>
        <v>-0.35</v>
      </c>
      <c r="AB55" s="234">
        <f t="shared" ca="1" si="17"/>
        <v>-0.35</v>
      </c>
      <c r="AC55" s="234">
        <f t="shared" ca="1" si="17"/>
        <v>-0.35</v>
      </c>
      <c r="AD55" s="234">
        <f t="shared" ca="1" si="17"/>
        <v>-0.35</v>
      </c>
      <c r="AE55" s="236">
        <f t="shared" ca="1" si="17"/>
        <v>0</v>
      </c>
      <c r="AF55" s="234">
        <f t="shared" ca="1" si="17"/>
        <v>0</v>
      </c>
      <c r="AG55" s="205" t="str">
        <f t="shared" si="2"/>
        <v>+/- required/actual hours daily</v>
      </c>
      <c r="AH55" s="218"/>
      <c r="AI55" s="238">
        <f ca="1">SUM(B55:AF55)</f>
        <v>-6.549999999999998</v>
      </c>
      <c r="AJ55" s="214"/>
      <c r="AK55" s="209"/>
      <c r="AL55" s="245">
        <f ca="1">IF(EB.Anwendung&lt;&gt;"",IF(MONTH(Monat.Tag1)=1,0,IF(MONTH(Monat.Tag1)=2,January!Monat.Soll_Ist_UeVM,IF(MONTH(Monat.Tag1)=3,February!Monat.Soll_Ist_UeVM,IF(MONTH(Monat.Tag1)=4,March!Monat.Soll_Ist_UeVM,IF(MONTH(Monat.Tag1)=5,April!Monat.Soll_Ist_UeVM,IF(MONTH(Monat.Tag1)=6,May!Monat.Soll_Ist_UeVM,IF(MONTH(Monat.Tag1)=7,June!Monat.Soll_Ist_UeVM,IF(MONTH(Monat.Tag1)=8,July!Monat.Soll_Ist_UeVM,IF(MONTH(Monat.Tag1)=9,August!Monat.Soll_Ist_UeVM,IF(MONTH(Monat.Tag1)=10,September!Monat.Soll_Ist_UeVM,IF(MONTH(Monat.Tag1)=11,October!Monat.Soll_Ist_UeVM,IF(MONTH(Monat.Tag1)=12,November!Monat.Soll_Ist_UeVM,"")))))))))))),"")</f>
        <v>-6.7249999999999979</v>
      </c>
      <c r="AM55" s="209"/>
      <c r="AN55" s="246">
        <f ca="1">IF(AH57="+",(AI55+AI57),(AI55-AI57))</f>
        <v>-6.549999999999998</v>
      </c>
      <c r="AO55" s="246">
        <f ca="1">SUM(OFFSET(J.AZSaldo.Total,-12,0,MONTH(Monat.Tag1),1))</f>
        <v>-35.324999999999989</v>
      </c>
      <c r="AP55" s="246">
        <f ca="1">J.AZSaldo.Total</f>
        <v>-88.07499999999996</v>
      </c>
      <c r="AQ55" s="119"/>
    </row>
    <row r="56" spans="1:43" s="38" customFormat="1" ht="15" customHeight="1" x14ac:dyDescent="0.2">
      <c r="A56" s="244" t="s">
        <v>214</v>
      </c>
      <c r="B56" s="247">
        <f ca="1">IF(EB.Anwendung&lt;&gt;"",IF(DAY(B$10)=1,IF(MONTH(Monat.Tag1)=1,ROUND(EB.ÜVMMS*1440,0)/1440,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B$10&gt;TODAY(),EB.UJAustritt=""),0,B55),
IF(AND(B$10&gt;TODAY(),EB.UJAustritt=""),A56,A56+B55)),"")</f>
        <v>0</v>
      </c>
      <c r="C56" s="247">
        <f ca="1">IF(EB.Anwendung&lt;&gt;"",IF(DAY(C$10)=1,IF(MONTH(Monat.Tag1)=1,ROUND(EB.ÜVMMS*1440,0)/1440,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C$10&gt;TODAY(),EB.UJAustritt=""),0,C55),
IF(AND(C$10&gt;TODAY(),EB.UJAustritt=""),B56,B56+C55)),"")</f>
        <v>0</v>
      </c>
      <c r="D56" s="247">
        <f ca="1">IF(EB.Anwendung&lt;&gt;"",IF(DAY(D$10)=1,IF(MONTH(Monat.Tag1)=1,ROUND(EB.ÜVMMS*1440,0)/1440,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D$10&gt;TODAY(),EB.UJAustritt=""),0,D55),
IF(AND(D$10&gt;TODAY(),EB.UJAustritt=""),C56,C56+D55)),"")</f>
        <v>0</v>
      </c>
      <c r="E56" s="247">
        <f ca="1">IF(EB.Anwendung&lt;&gt;"",IF(DAY(E$10)=1,IF(MONTH(Monat.Tag1)=1,ROUND(EB.ÜVMMS*1440,0)/1440,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E$10&gt;TODAY(),EB.UJAustritt=""),0,E55),
IF(AND(E$10&gt;TODAY(),EB.UJAustritt=""),D56,D56+E55)),"")</f>
        <v>0</v>
      </c>
      <c r="F56" s="247">
        <f ca="1">IF(EB.Anwendung&lt;&gt;"",IF(DAY(F$10)=1,IF(MONTH(Monat.Tag1)=1,ROUND(EB.ÜVMMS*1440,0)/1440,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F$10&gt;TODAY(),EB.UJAustritt=""),0,F55),
IF(AND(F$10&gt;TODAY(),EB.UJAustritt=""),E56,E56+F55)),"")</f>
        <v>0</v>
      </c>
      <c r="G56" s="247">
        <f ca="1">IF(EB.Anwendung&lt;&gt;"",IF(DAY(G$10)=1,IF(MONTH(Monat.Tag1)=1,ROUND(EB.ÜVMMS*1440,0)/1440,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G$10&gt;TODAY(),EB.UJAustritt=""),0,G55),
IF(AND(G$10&gt;TODAY(),EB.UJAustritt=""),F56,F56+G55)),"")</f>
        <v>0</v>
      </c>
      <c r="H56" s="247">
        <f ca="1">IF(EB.Anwendung&lt;&gt;"",IF(DAY(H$10)=1,IF(MONTH(Monat.Tag1)=1,ROUND(EB.ÜVMMS*1440,0)/1440,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H$10&gt;TODAY(),EB.UJAustritt=""),0,H55),
IF(AND(H$10&gt;TODAY(),EB.UJAustritt=""),G56,G56+H55)),"")</f>
        <v>0</v>
      </c>
      <c r="I56" s="247">
        <f ca="1">IF(EB.Anwendung&lt;&gt;"",IF(DAY(I$10)=1,IF(MONTH(Monat.Tag1)=1,ROUND(EB.ÜVMMS*1440,0)/1440,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I$10&gt;TODAY(),EB.UJAustritt=""),0,I55),
IF(AND(I$10&gt;TODAY(),EB.UJAustritt=""),H56,H56+I55)),"")</f>
        <v>0</v>
      </c>
      <c r="J56" s="247">
        <f ca="1">IF(EB.Anwendung&lt;&gt;"",IF(DAY(J$10)=1,IF(MONTH(Monat.Tag1)=1,ROUND(EB.ÜVMMS*1440,0)/1440,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J$10&gt;TODAY(),EB.UJAustritt=""),0,J55),
IF(AND(J$10&gt;TODAY(),EB.UJAustritt=""),I56,I56+J55)),"")</f>
        <v>0</v>
      </c>
      <c r="K56" s="247">
        <f ca="1">IF(EB.Anwendung&lt;&gt;"",IF(DAY(K$10)=1,IF(MONTH(Monat.Tag1)=1,ROUND(EB.ÜVMMS*1440,0)/1440,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K$10&gt;TODAY(),EB.UJAustritt=""),0,K55),
IF(AND(K$10&gt;TODAY(),EB.UJAustritt=""),J56,J56+K55)),"")</f>
        <v>0</v>
      </c>
      <c r="L56" s="247">
        <f ca="1">IF(EB.Anwendung&lt;&gt;"",IF(DAY(L$10)=1,IF(MONTH(Monat.Tag1)=1,ROUND(EB.ÜVMMS*1440,0)/1440,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L$10&gt;TODAY(),EB.UJAustritt=""),0,L55),
IF(AND(L$10&gt;TODAY(),EB.UJAustritt=""),K56,K56+L55)),"")</f>
        <v>0</v>
      </c>
      <c r="M56" s="247">
        <f ca="1">IF(EB.Anwendung&lt;&gt;"",IF(DAY(M$10)=1,IF(MONTH(Monat.Tag1)=1,ROUND(EB.ÜVMMS*1440,0)/1440,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M$10&gt;TODAY(),EB.UJAustritt=""),0,M55),
IF(AND(M$10&gt;TODAY(),EB.UJAustritt=""),L56,L56+M55)),"")</f>
        <v>0</v>
      </c>
      <c r="N56" s="247">
        <f ca="1">IF(EB.Anwendung&lt;&gt;"",IF(DAY(N$10)=1,IF(MONTH(Monat.Tag1)=1,ROUND(EB.ÜVMMS*1440,0)/1440,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N$10&gt;TODAY(),EB.UJAustritt=""),0,N55),
IF(AND(N$10&gt;TODAY(),EB.UJAustritt=""),M56,M56+N55)),"")</f>
        <v>0</v>
      </c>
      <c r="O56" s="247">
        <f ca="1">IF(EB.Anwendung&lt;&gt;"",IF(DAY(O$10)=1,IF(MONTH(Monat.Tag1)=1,ROUND(EB.ÜVMMS*1440,0)/1440,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O$10&gt;TODAY(),EB.UJAustritt=""),0,O55),
IF(AND(O$10&gt;TODAY(),EB.UJAustritt=""),N56,N56+O55)),"")</f>
        <v>0</v>
      </c>
      <c r="P56" s="247">
        <f ca="1">IF(EB.Anwendung&lt;&gt;"",IF(DAY(P$10)=1,IF(MONTH(Monat.Tag1)=1,ROUND(EB.ÜVMMS*1440,0)/1440,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P$10&gt;TODAY(),EB.UJAustritt=""),0,P55),
IF(AND(P$10&gt;TODAY(),EB.UJAustritt=""),O56,O56+P55)),"")</f>
        <v>0</v>
      </c>
      <c r="Q56" s="247">
        <f ca="1">IF(EB.Anwendung&lt;&gt;"",IF(DAY(Q$10)=1,IF(MONTH(Monat.Tag1)=1,ROUND(EB.ÜVMMS*1440,0)/1440,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Q$10&gt;TODAY(),EB.UJAustritt=""),0,Q55),
IF(AND(Q$10&gt;TODAY(),EB.UJAustritt=""),P56,P56+Q55)),"")</f>
        <v>0</v>
      </c>
      <c r="R56" s="247">
        <f ca="1">IF(EB.Anwendung&lt;&gt;"",IF(DAY(R$10)=1,IF(MONTH(Monat.Tag1)=1,ROUND(EB.ÜVMMS*1440,0)/1440,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R$10&gt;TODAY(),EB.UJAustritt=""),0,R55),
IF(AND(R$10&gt;TODAY(),EB.UJAustritt=""),Q56,Q56+R55)),"")</f>
        <v>0</v>
      </c>
      <c r="S56" s="247">
        <f ca="1">IF(EB.Anwendung&lt;&gt;"",IF(DAY(S$10)=1,IF(MONTH(Monat.Tag1)=1,ROUND(EB.ÜVMMS*1440,0)/1440,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S$10&gt;TODAY(),EB.UJAustritt=""),0,S55),
IF(AND(S$10&gt;TODAY(),EB.UJAustritt=""),R56,R56+S55)),"")</f>
        <v>0</v>
      </c>
      <c r="T56" s="247">
        <f ca="1">IF(EB.Anwendung&lt;&gt;"",IF(DAY(T$10)=1,IF(MONTH(Monat.Tag1)=1,ROUND(EB.ÜVMMS*1440,0)/1440,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T$10&gt;TODAY(),EB.UJAustritt=""),0,T55),
IF(AND(T$10&gt;TODAY(),EB.UJAustritt=""),S56,S56+T55)),"")</f>
        <v>0</v>
      </c>
      <c r="U56" s="247">
        <f ca="1">IF(EB.Anwendung&lt;&gt;"",IF(DAY(U$10)=1,IF(MONTH(Monat.Tag1)=1,ROUND(EB.ÜVMMS*1440,0)/1440,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U$10&gt;TODAY(),EB.UJAustritt=""),0,U55),
IF(AND(U$10&gt;TODAY(),EB.UJAustritt=""),T56,T56+U55)),"")</f>
        <v>0</v>
      </c>
      <c r="V56" s="247">
        <f ca="1">IF(EB.Anwendung&lt;&gt;"",IF(DAY(V$10)=1,IF(MONTH(Monat.Tag1)=1,ROUND(EB.ÜVMMS*1440,0)/1440,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V$10&gt;TODAY(),EB.UJAustritt=""),0,V55),
IF(AND(V$10&gt;TODAY(),EB.UJAustritt=""),U56,U56+V55)),"")</f>
        <v>0</v>
      </c>
      <c r="W56" s="247">
        <f ca="1">IF(EB.Anwendung&lt;&gt;"",IF(DAY(W$10)=1,IF(MONTH(Monat.Tag1)=1,ROUND(EB.ÜVMMS*1440,0)/1440,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W$10&gt;TODAY(),EB.UJAustritt=""),0,W55),
IF(AND(W$10&gt;TODAY(),EB.UJAustritt=""),V56,V56+W55)),"")</f>
        <v>0</v>
      </c>
      <c r="X56" s="247">
        <f ca="1">IF(EB.Anwendung&lt;&gt;"",IF(DAY(X$10)=1,IF(MONTH(Monat.Tag1)=1,ROUND(EB.ÜVMMS*1440,0)/1440,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X$10&gt;TODAY(),EB.UJAustritt=""),0,X55),
IF(AND(X$10&gt;TODAY(),EB.UJAustritt=""),W56,W56+X55)),"")</f>
        <v>0</v>
      </c>
      <c r="Y56" s="247">
        <f ca="1">IF(EB.Anwendung&lt;&gt;"",IF(DAY(Y$10)=1,IF(MONTH(Monat.Tag1)=1,ROUND(EB.ÜVMMS*1440,0)/1440,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Y$10&gt;TODAY(),EB.UJAustritt=""),0,Y55),
IF(AND(Y$10&gt;TODAY(),EB.UJAustritt=""),X56,X56+Y55)),"")</f>
        <v>0</v>
      </c>
      <c r="Z56" s="247">
        <f ca="1">IF(EB.Anwendung&lt;&gt;"",IF(DAY(Z$10)=1,IF(MONTH(Monat.Tag1)=1,ROUND(EB.ÜVMMS*1440,0)/1440,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Z$10&gt;TODAY(),EB.UJAustritt=""),0,Z55),
IF(AND(Z$10&gt;TODAY(),EB.UJAustritt=""),Y56,Y56+Z55)),"")</f>
        <v>0</v>
      </c>
      <c r="AA56" s="247">
        <f ca="1">IF(EB.Anwendung&lt;&gt;"",IF(DAY(AA$10)=1,IF(MONTH(Monat.Tag1)=1,ROUND(EB.ÜVMMS*1440,0)/1440,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A$10&gt;TODAY(),EB.UJAustritt=""),0,AA55),
IF(AND(AA$10&gt;TODAY(),EB.UJAustritt=""),Z56,Z56+AA55)),"")</f>
        <v>0</v>
      </c>
      <c r="AB56" s="247">
        <f ca="1">IF(EB.Anwendung&lt;&gt;"",IF(DAY(AB$10)=1,IF(MONTH(Monat.Tag1)=1,ROUND(EB.ÜVMMS*1440,0)/1440,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B$10&gt;TODAY(),EB.UJAustritt=""),0,AB55),
IF(AND(AB$10&gt;TODAY(),EB.UJAustritt=""),AA56,AA56+AB55)),"")</f>
        <v>0</v>
      </c>
      <c r="AC56" s="247">
        <f ca="1">IF(EB.Anwendung&lt;&gt;"",IF(DAY(AC$10)=1,IF(MONTH(Monat.Tag1)=1,ROUND(EB.ÜVMMS*1440,0)/1440,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C$10&gt;TODAY(),EB.UJAustritt=""),0,AC55),
IF(AND(AC$10&gt;TODAY(),EB.UJAustritt=""),AB56,AB56+AC55)),"")</f>
        <v>0</v>
      </c>
      <c r="AD56" s="247">
        <f ca="1">IF(EB.Anwendung&lt;&gt;"",IF(DAY(AD$10)=1,IF(MONTH(Monat.Tag1)=1,ROUND(EB.ÜVMMS*1440,0)/1440,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D$10&gt;TODAY(),EB.UJAustritt=""),0,AD55),
IF(AND(AD$10&gt;TODAY(),EB.UJAustritt=""),AC56,AC56+AD55)),"")</f>
        <v>0</v>
      </c>
      <c r="AE56" s="247">
        <f ca="1">IF(EB.Anwendung&lt;&gt;"",IF(DAY(AE$10)=1,IF(MONTH(Monat.Tag1)=1,ROUND(EB.ÜVMMS*1440,0)/1440,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E$10&gt;TODAY(),EB.UJAustritt=""),0,AE55),
IF(AND(AE$10&gt;TODAY(),EB.UJAustritt=""),AD56,AD56+AE55)),"")</f>
        <v>0</v>
      </c>
      <c r="AF56" s="247">
        <f ca="1">IF(EB.Anwendung&lt;&gt;"",IF(DAY(AF$10)=1,IF(MONTH(Monat.Tag1)=1,ROUND(EB.ÜVMMS*1440,0)/1440,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F$10&gt;TODAY(),EB.UJAustritt=""),0,AF55),
IF(AND(AF$10&gt;TODAY(),EB.UJAustritt=""),AE56,AE56+AF55)),"")</f>
        <v>0</v>
      </c>
      <c r="AG56" s="205" t="str">
        <f t="shared" si="2"/>
        <v>current extra/minus hours</v>
      </c>
      <c r="AH56" s="218"/>
      <c r="AI56" s="238">
        <f ca="1">OFFSET(B56,0,DAY(EOMONTH(Monat.Tag1,0))-1,1,1)</f>
        <v>0</v>
      </c>
      <c r="AJ56" s="214"/>
      <c r="AK56" s="209"/>
      <c r="AL56" s="209"/>
      <c r="AM56" s="209"/>
      <c r="AN56" s="208"/>
      <c r="AO56" s="209"/>
      <c r="AP56" s="209"/>
      <c r="AQ56" s="119"/>
    </row>
    <row r="57" spans="1:43" s="42" customFormat="1" ht="15" customHeight="1" outlineLevel="1" x14ac:dyDescent="0.2">
      <c r="A57" s="248"/>
      <c r="B57" s="249"/>
      <c r="C57" s="249"/>
      <c r="D57" s="249"/>
      <c r="E57" s="191"/>
      <c r="F57" s="249"/>
      <c r="G57" s="249"/>
      <c r="H57" s="250"/>
      <c r="I57" s="249"/>
      <c r="J57" s="251"/>
      <c r="K57" s="249"/>
      <c r="L57" s="252"/>
      <c r="M57" s="249"/>
      <c r="N57" s="249"/>
      <c r="O57" s="250"/>
      <c r="P57" s="249"/>
      <c r="Q57" s="191"/>
      <c r="R57" s="249"/>
      <c r="S57" s="252"/>
      <c r="T57" s="249"/>
      <c r="U57" s="249"/>
      <c r="V57" s="250"/>
      <c r="W57" s="249"/>
      <c r="X57" s="253"/>
      <c r="Y57" s="249"/>
      <c r="Z57" s="191"/>
      <c r="AA57" s="249"/>
      <c r="AB57" s="249"/>
      <c r="AC57" s="250"/>
      <c r="AD57" s="249"/>
      <c r="AE57" s="191"/>
      <c r="AF57" s="254"/>
      <c r="AG57" s="212" t="s">
        <v>117</v>
      </c>
      <c r="AH57" s="43" t="s">
        <v>2</v>
      </c>
      <c r="AI57" s="73"/>
      <c r="AJ57" s="255"/>
      <c r="AK57" s="256"/>
      <c r="AL57" s="209"/>
      <c r="AM57" s="209"/>
      <c r="AN57" s="208"/>
      <c r="AO57" s="257"/>
      <c r="AP57" s="257"/>
      <c r="AQ57" s="163"/>
    </row>
    <row r="58" spans="1:43" s="44" customFormat="1" ht="15" customHeight="1" x14ac:dyDescent="0.2">
      <c r="A58" s="258"/>
      <c r="B58" s="252"/>
      <c r="C58" s="252"/>
      <c r="D58" s="252"/>
      <c r="E58" s="191"/>
      <c r="F58" s="252"/>
      <c r="G58" s="252"/>
      <c r="H58" s="252"/>
      <c r="I58" s="252"/>
      <c r="J58" s="191"/>
      <c r="K58" s="252"/>
      <c r="L58" s="252"/>
      <c r="M58" s="252"/>
      <c r="N58" s="252"/>
      <c r="O58" s="252"/>
      <c r="P58" s="252"/>
      <c r="Q58" s="191"/>
      <c r="R58" s="252"/>
      <c r="S58" s="252"/>
      <c r="T58" s="252"/>
      <c r="U58" s="252"/>
      <c r="V58" s="252"/>
      <c r="W58" s="252"/>
      <c r="X58" s="253"/>
      <c r="Y58" s="252"/>
      <c r="Z58" s="191"/>
      <c r="AA58" s="252"/>
      <c r="AB58" s="252"/>
      <c r="AC58" s="252"/>
      <c r="AD58" s="252"/>
      <c r="AE58" s="191"/>
      <c r="AF58" s="259"/>
      <c r="AG58" s="260" t="s">
        <v>78</v>
      </c>
      <c r="AH58" s="218"/>
      <c r="AI58" s="238">
        <f ca="1">IF(AH57="+",(Monat.ZUeZ.Total+AI57),(Monat.ZUeZ.Total-AI57))</f>
        <v>0</v>
      </c>
      <c r="AJ58" s="261"/>
      <c r="AK58" s="262"/>
      <c r="AL58" s="245">
        <f ca="1">IF(EB.Anwendung&lt;&gt;"",IF(MONTH(Monat.Tag1)=1,EB.MMS,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f>
        <v>0</v>
      </c>
      <c r="AM58" s="209"/>
      <c r="AN58" s="246">
        <f ca="1">AI58</f>
        <v>0</v>
      </c>
      <c r="AO58" s="209"/>
      <c r="AP58" s="209"/>
      <c r="AQ58" s="131"/>
    </row>
    <row r="59" spans="1:43" s="38" customFormat="1" ht="11.25" customHeight="1" x14ac:dyDescent="0.2">
      <c r="A59" s="220"/>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2"/>
      <c r="AG59" s="205"/>
      <c r="AH59" s="188"/>
      <c r="AI59" s="213"/>
      <c r="AJ59" s="214"/>
      <c r="AK59" s="209"/>
      <c r="AL59" s="209"/>
      <c r="AM59" s="209"/>
      <c r="AN59" s="208"/>
      <c r="AO59" s="209"/>
      <c r="AP59" s="209"/>
      <c r="AQ59" s="119"/>
    </row>
    <row r="60" spans="1:43" s="38" customFormat="1" ht="15" customHeight="1" x14ac:dyDescent="0.2">
      <c r="A60" s="212" t="s">
        <v>217</v>
      </c>
      <c r="B60" s="263" t="str">
        <f ca="1">IF(EB.Wochenarbeitszeit=50/24,IF(T.50_Vetsuisse,IF(WEEKDAY(B$10,2)=7,MAX(0,SUM(OFFSET(B51,0,-MIN(6,DAY(B$10)-1),1,MIN(7,DAY(B$10))))+IF(AND(MONTH(Monat.Tag1)&lt;&gt;1,DAY(B$10)&lt;7),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-1/24*50),""),""),IF(B45=0,"",B45))</f>
        <v/>
      </c>
      <c r="C60" s="263" t="str">
        <f ca="1">IF(EB.Wochenarbeitszeit=50/24,IF(T.50_Vetsuisse,IF(WEEKDAY(C$10,2)=7,MAX(0,SUM(OFFSET(C51,0,-MIN(6,DAY(C$10)-1),1,MIN(7,DAY(C$10))))+IF(AND(MONTH(Monat.Tag1)&lt;&gt;1,DAY(C$10)&lt;7),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-1/24*50),""),""),IF(C45=0,"",C45))</f>
        <v/>
      </c>
      <c r="D60" s="263" t="str">
        <f ca="1">IF(EB.Wochenarbeitszeit=50/24,IF(T.50_Vetsuisse,IF(WEEKDAY(D$10,2)=7,MAX(0,SUM(OFFSET(D51,0,-MIN(6,DAY(D$10)-1),1,MIN(7,DAY(D$10))))+IF(AND(MONTH(Monat.Tag1)&lt;&gt;1,DAY(D$10)&lt;7),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-1/24*50),""),""),IF(D45=0,"",D45))</f>
        <v/>
      </c>
      <c r="E60" s="264" t="str">
        <f ca="1">IF(EB.Wochenarbeitszeit=50/24,IF(T.50_Vetsuisse,IF(WEEKDAY(E$10,2)=7,MAX(0,SUM(OFFSET(E51,0,-MIN(6,DAY(E$10)-1),1,MIN(7,DAY(E$10))))+IF(AND(MONTH(Monat.Tag1)&lt;&gt;1,DAY(E$10)&lt;7),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-1/24*50),""),""),IF(E45=0,"",E45))</f>
        <v/>
      </c>
      <c r="F60" s="263" t="str">
        <f ca="1">IF(EB.Wochenarbeitszeit=50/24,IF(T.50_Vetsuisse,IF(WEEKDAY(F$10,2)=7,MAX(0,SUM(OFFSET(F51,0,-MIN(6,DAY(F$10)-1),1,MIN(7,DAY(F$10))))+IF(AND(MONTH(Monat.Tag1)&lt;&gt;1,DAY(F$10)&lt;7),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-1/24*50),""),""),IF(F45=0,"",F45))</f>
        <v/>
      </c>
      <c r="G60" s="263" t="str">
        <f ca="1">IF(EB.Wochenarbeitszeit=50/24,IF(T.50_Vetsuisse,IF(WEEKDAY(G$10,2)=7,MAX(0,SUM(OFFSET(G51,0,-MIN(6,DAY(G$10)-1),1,MIN(7,DAY(G$10))))+IF(AND(MONTH(Monat.Tag1)&lt;&gt;1,DAY(G$10)&lt;7),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-1/24*50),""),""),IF(G45=0,"",G45))</f>
        <v/>
      </c>
      <c r="H60" s="263" t="str">
        <f ca="1">IF(EB.Wochenarbeitszeit=50/24,IF(T.50_Vetsuisse,IF(WEEKDAY(H$10,2)=7,MAX(0,SUM(OFFSET(H51,0,-MIN(6,DAY(H$10)-1),1,MIN(7,DAY(H$10))))+IF(AND(MONTH(Monat.Tag1)&lt;&gt;1,DAY(H$10)&lt;7),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-1/24*50),""),""),IF(H45=0,"",H45))</f>
        <v/>
      </c>
      <c r="I60" s="263" t="str">
        <f ca="1">IF(EB.Wochenarbeitszeit=50/24,IF(T.50_Vetsuisse,IF(WEEKDAY(I$10,2)=7,MAX(0,SUM(OFFSET(I51,0,-MIN(6,DAY(I$10)-1),1,MIN(7,DAY(I$10))))+IF(AND(MONTH(Monat.Tag1)&lt;&gt;1,DAY(I$10)&lt;7),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-1/24*50),""),""),IF(I45=0,"",I45))</f>
        <v/>
      </c>
      <c r="J60" s="264" t="str">
        <f ca="1">IF(EB.Wochenarbeitszeit=50/24,IF(T.50_Vetsuisse,IF(WEEKDAY(J$10,2)=7,MAX(0,SUM(OFFSET(J51,0,-MIN(6,DAY(J$10)-1),1,MIN(7,DAY(J$10))))+IF(AND(MONTH(Monat.Tag1)&lt;&gt;1,DAY(J$10)&lt;7),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-1/24*50),""),""),IF(J45=0,"",J45))</f>
        <v/>
      </c>
      <c r="K60" s="263" t="str">
        <f ca="1">IF(EB.Wochenarbeitszeit=50/24,IF(T.50_Vetsuisse,IF(WEEKDAY(K$10,2)=7,MAX(0,SUM(OFFSET(K51,0,-MIN(6,DAY(K$10)-1),1,MIN(7,DAY(K$10))))+IF(AND(MONTH(Monat.Tag1)&lt;&gt;1,DAY(K$10)&lt;7),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-1/24*50),""),""),IF(K45=0,"",K45))</f>
        <v/>
      </c>
      <c r="L60" s="264" t="str">
        <f ca="1">IF(EB.Wochenarbeitszeit=50/24,IF(T.50_Vetsuisse,IF(WEEKDAY(L$10,2)=7,MAX(0,SUM(OFFSET(L51,0,-MIN(6,DAY(L$10)-1),1,MIN(7,DAY(L$10))))+IF(AND(MONTH(Monat.Tag1)&lt;&gt;1,DAY(L$10)&lt;7),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-1/24*50),""),""),IF(L45=0,"",L45))</f>
        <v/>
      </c>
      <c r="M60" s="263" t="str">
        <f ca="1">IF(EB.Wochenarbeitszeit=50/24,IF(T.50_Vetsuisse,IF(WEEKDAY(M$10,2)=7,MAX(0,SUM(OFFSET(M51,0,-MIN(6,DAY(M$10)-1),1,MIN(7,DAY(M$10))))+IF(AND(MONTH(Monat.Tag1)&lt;&gt;1,DAY(M$10)&lt;7),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-1/24*50),""),""),IF(M45=0,"",M45))</f>
        <v/>
      </c>
      <c r="N60" s="263" t="str">
        <f ca="1">IF(EB.Wochenarbeitszeit=50/24,IF(T.50_Vetsuisse,IF(WEEKDAY(N$10,2)=7,MAX(0,SUM(OFFSET(N51,0,-MIN(6,DAY(N$10)-1),1,MIN(7,DAY(N$10))))+IF(AND(MONTH(Monat.Tag1)&lt;&gt;1,DAY(N$10)&lt;7),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-1/24*50),""),""),IF(N45=0,"",N45))</f>
        <v/>
      </c>
      <c r="O60" s="263" t="str">
        <f ca="1">IF(EB.Wochenarbeitszeit=50/24,IF(T.50_Vetsuisse,IF(WEEKDAY(O$10,2)=7,MAX(0,SUM(OFFSET(O51,0,-MIN(6,DAY(O$10)-1),1,MIN(7,DAY(O$10))))+IF(AND(MONTH(Monat.Tag1)&lt;&gt;1,DAY(O$10)&lt;7),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-1/24*50),""),""),IF(O45=0,"",O45))</f>
        <v/>
      </c>
      <c r="P60" s="263" t="str">
        <f ca="1">IF(EB.Wochenarbeitszeit=50/24,IF(T.50_Vetsuisse,IF(WEEKDAY(P$10,2)=7,MAX(0,SUM(OFFSET(P51,0,-MIN(6,DAY(P$10)-1),1,MIN(7,DAY(P$10))))+IF(AND(MONTH(Monat.Tag1)&lt;&gt;1,DAY(P$10)&lt;7),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-1/24*50),""),""),IF(P45=0,"",P45))</f>
        <v/>
      </c>
      <c r="Q60" s="264" t="str">
        <f ca="1">IF(EB.Wochenarbeitszeit=50/24,IF(T.50_Vetsuisse,IF(WEEKDAY(Q$10,2)=7,MAX(0,SUM(OFFSET(Q51,0,-MIN(6,DAY(Q$10)-1),1,MIN(7,DAY(Q$10))))+IF(AND(MONTH(Monat.Tag1)&lt;&gt;1,DAY(Q$10)&lt;7),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-1/24*50),""),""),IF(Q45=0,"",Q45))</f>
        <v/>
      </c>
      <c r="R60" s="263" t="str">
        <f ca="1">IF(EB.Wochenarbeitszeit=50/24,IF(T.50_Vetsuisse,IF(WEEKDAY(R$10,2)=7,MAX(0,SUM(OFFSET(R51,0,-MIN(6,DAY(R$10)-1),1,MIN(7,DAY(R$10))))+IF(AND(MONTH(Monat.Tag1)&lt;&gt;1,DAY(R$10)&lt;7),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-1/24*50),""),""),IF(R45=0,"",R45))</f>
        <v/>
      </c>
      <c r="S60" s="264" t="str">
        <f ca="1">IF(EB.Wochenarbeitszeit=50/24,IF(T.50_Vetsuisse,IF(WEEKDAY(S$10,2)=7,MAX(0,SUM(OFFSET(S51,0,-MIN(6,DAY(S$10)-1),1,MIN(7,DAY(S$10))))+IF(AND(MONTH(Monat.Tag1)&lt;&gt;1,DAY(S$10)&lt;7),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-1/24*50),""),""),IF(S45=0,"",S45))</f>
        <v/>
      </c>
      <c r="T60" s="264" t="str">
        <f ca="1">IF(EB.Wochenarbeitszeit=50/24,IF(T.50_Vetsuisse,IF(WEEKDAY(T$10,2)=7,MAX(0,SUM(OFFSET(T51,0,-MIN(6,DAY(T$10)-1),1,MIN(7,DAY(T$10))))+IF(AND(MONTH(Monat.Tag1)&lt;&gt;1,DAY(T$10)&lt;7),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-1/24*50),""),""),IF(T45=0,"",T45))</f>
        <v/>
      </c>
      <c r="U60" s="263" t="str">
        <f ca="1">IF(EB.Wochenarbeitszeit=50/24,IF(T.50_Vetsuisse,IF(WEEKDAY(U$10,2)=7,MAX(0,SUM(OFFSET(U51,0,-MIN(6,DAY(U$10)-1),1,MIN(7,DAY(U$10))))+IF(AND(MONTH(Monat.Tag1)&lt;&gt;1,DAY(U$10)&lt;7),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-1/24*50),""),""),IF(U45=0,"",U45))</f>
        <v/>
      </c>
      <c r="V60" s="263" t="str">
        <f ca="1">IF(EB.Wochenarbeitszeit=50/24,IF(T.50_Vetsuisse,IF(WEEKDAY(V$10,2)=7,MAX(0,SUM(OFFSET(V51,0,-MIN(6,DAY(V$10)-1),1,MIN(7,DAY(V$10))))+IF(AND(MONTH(Monat.Tag1)&lt;&gt;1,DAY(V$10)&lt;7),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-1/24*50),""),""),IF(V45=0,"",V45))</f>
        <v/>
      </c>
      <c r="W60" s="263" t="str">
        <f ca="1">IF(EB.Wochenarbeitszeit=50/24,IF(T.50_Vetsuisse,IF(WEEKDAY(W$10,2)=7,MAX(0,SUM(OFFSET(W51,0,-MIN(6,DAY(W$10)-1),1,MIN(7,DAY(W$10))))+IF(AND(MONTH(Monat.Tag1)&lt;&gt;1,DAY(W$10)&lt;7),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-1/24*50),""),""),IF(W45=0,"",W45))</f>
        <v/>
      </c>
      <c r="X60" s="264" t="str">
        <f ca="1">IF(EB.Wochenarbeitszeit=50/24,IF(T.50_Vetsuisse,IF(WEEKDAY(X$10,2)=7,MAX(0,SUM(OFFSET(X51,0,-MIN(6,DAY(X$10)-1),1,MIN(7,DAY(X$10))))+IF(AND(MONTH(Monat.Tag1)&lt;&gt;1,DAY(X$10)&lt;7),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-1/24*50),""),""),IF(X45=0,"",X45))</f>
        <v/>
      </c>
      <c r="Y60" s="263" t="str">
        <f ca="1">IF(EB.Wochenarbeitszeit=50/24,IF(T.50_Vetsuisse,IF(WEEKDAY(Y$10,2)=7,MAX(0,SUM(OFFSET(Y51,0,-MIN(6,DAY(Y$10)-1),1,MIN(7,DAY(Y$10))))+IF(AND(MONTH(Monat.Tag1)&lt;&gt;1,DAY(Y$10)&lt;7),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-1/24*50),""),""),IF(Y45=0,"",Y45))</f>
        <v/>
      </c>
      <c r="Z60" s="265" t="str">
        <f ca="1">IF(EB.Wochenarbeitszeit=50/24,IF(T.50_Vetsuisse,IF(WEEKDAY(Z$10,2)=7,MAX(0,SUM(OFFSET(Z51,0,-MIN(6,DAY(Z$10)-1),1,MIN(7,DAY(Z$10))))+IF(AND(MONTH(Monat.Tag1)&lt;&gt;1,DAY(Z$10)&lt;7),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-1/24*50),""),""),IF(Z45=0,"",Z45))</f>
        <v/>
      </c>
      <c r="AA60" s="263" t="str">
        <f ca="1">IF(EB.Wochenarbeitszeit=50/24,IF(T.50_Vetsuisse,IF(WEEKDAY(AA$10,2)=7,MAX(0,SUM(OFFSET(AA51,0,-MIN(6,DAY(AA$10)-1),1,MIN(7,DAY(AA$10))))+IF(AND(MONTH(Monat.Tag1)&lt;&gt;1,DAY(AA$10)&lt;7),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-1/24*50),""),""),IF(AA45=0,"",AA45))</f>
        <v/>
      </c>
      <c r="AB60" s="263" t="str">
        <f ca="1">IF(EB.Wochenarbeitszeit=50/24,IF(T.50_Vetsuisse,IF(WEEKDAY(AB$10,2)=7,MAX(0,SUM(OFFSET(AB51,0,-MIN(6,DAY(AB$10)-1),1,MIN(7,DAY(AB$10))))+IF(AND(MONTH(Monat.Tag1)&lt;&gt;1,DAY(AB$10)&lt;7),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-1/24*50),""),""),IF(AB45=0,"",AB45))</f>
        <v/>
      </c>
      <c r="AC60" s="263" t="str">
        <f ca="1">IF(EB.Wochenarbeitszeit=50/24,IF(T.50_Vetsuisse,IF(WEEKDAY(AC$10,2)=7,MAX(0,SUM(OFFSET(AC51,0,-MIN(6,DAY(AC$10)-1),1,MIN(7,DAY(AC$10))))+IF(AND(MONTH(Monat.Tag1)&lt;&gt;1,DAY(AC$10)&lt;7),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-1/24*50),""),""),IF(AC45=0,"",AC45))</f>
        <v/>
      </c>
      <c r="AD60" s="263" t="str">
        <f ca="1">IF(EB.Wochenarbeitszeit=50/24,IF(T.50_Vetsuisse,IF(WEEKDAY(AD$10,2)=7,MAX(0,SUM(OFFSET(AD51,0,-MIN(6,DAY(AD$10)-1),1,MIN(7,DAY(AD$10))))+IF(AND(MONTH(Monat.Tag1)&lt;&gt;1,DAY(AD$10)&lt;7),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-1/24*50),""),""),IF(AD45=0,"",AD45))</f>
        <v/>
      </c>
      <c r="AE60" s="264" t="str">
        <f ca="1">IF(EB.Wochenarbeitszeit=50/24,IF(T.50_Vetsuisse,IF(WEEKDAY(AE$10,2)=7,MAX(0,SUM(OFFSET(AE51,0,-MIN(6,DAY(AE$10)-1),1,MIN(7,DAY(AE$10))))+IF(AND(MONTH(Monat.Tag1)&lt;&gt;1,DAY(AE$10)&lt;7),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-1/24*50),""),""),IF(AE45=0,"",AE45))</f>
        <v/>
      </c>
      <c r="AF60" s="263" t="str">
        <f ca="1">IF(EB.Wochenarbeitszeit=50/24,IF(T.50_Vetsuisse,IF(WEEKDAY(AF$10,2)=7,MAX(0,SUM(OFFSET(AF51,0,-MIN(6,DAY(AF$10)-1),1,MIN(7,DAY(AF$10))))+IF(AND(MONTH(Monat.Tag1)&lt;&gt;1,DAY(AF$10)&lt;7),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-1/24*50),""),""),IF(AF45=0,"",AF45))</f>
        <v/>
      </c>
      <c r="AG60" s="205" t="str">
        <f>A60</f>
        <v>Ordered overtime</v>
      </c>
      <c r="AH60" s="218"/>
      <c r="AI60" s="238">
        <f ca="1">SUM(B60:AF60)</f>
        <v>0</v>
      </c>
      <c r="AJ60" s="214"/>
      <c r="AK60" s="209"/>
      <c r="AL60" s="245">
        <f ca="1">IF(EB.Anwendung&lt;&gt;"",IF(MONTH(Monat.Tag1)=1,0,IF(MONTH(Monat.Tag1)=2,January!Monat.AnUeZUeVM,IF(MONTH(Monat.Tag1)=3,February!Monat.AnUeZUeVM,IF(MONTH(Monat.Tag1)=4,March!Monat.AnUeZUeVM,IF(MONTH(Monat.Tag1)=5,April!Monat.AnUeZUeVM,IF(MONTH(Monat.Tag1)=6,May!Monat.AnUeZUeVM,IF(MONTH(Monat.Tag1)=7,June!Monat.AnUeZUeVM,IF(MONTH(Monat.Tag1)=8,July!Monat.AnUeZUeVM,IF(MONTH(Monat.Tag1)=9,August!Monat.AnUeZUeVM,IF(MONTH(Monat.Tag1)=10,September!Monat.AnUeZUeVM,IF(MONTH(Monat.Tag1)=11,October!Monat.AnUeZUeVM,IF(MONTH(Monat.Tag1)=12,November!Monat.AnUeZUeVM,"")))))))))))),"")</f>
        <v>0</v>
      </c>
      <c r="AM60" s="209"/>
      <c r="AN60" s="246">
        <f ca="1">AI60+AL60</f>
        <v>0</v>
      </c>
      <c r="AO60" s="246">
        <f ca="1">SUM(OFFSET(Jahr.AngÜZ,-12,0,MONTH(Monat.Tag1),1))</f>
        <v>0</v>
      </c>
      <c r="AP60" s="246">
        <f ca="1">Jahr.AngÜZ</f>
        <v>0</v>
      </c>
      <c r="AQ60" s="119"/>
    </row>
    <row r="61" spans="1:43" s="38" customFormat="1" ht="15" customHeight="1" x14ac:dyDescent="0.2">
      <c r="A61" s="212" t="s">
        <v>218</v>
      </c>
      <c r="B61" s="27"/>
      <c r="C61" s="27"/>
      <c r="D61" s="27"/>
      <c r="E61" s="27"/>
      <c r="F61" s="27"/>
      <c r="G61" s="27"/>
      <c r="H61" s="27"/>
      <c r="I61" s="27"/>
      <c r="J61" s="27"/>
      <c r="K61" s="27"/>
      <c r="L61" s="27"/>
      <c r="M61" s="27"/>
      <c r="N61" s="27"/>
      <c r="O61" s="27"/>
      <c r="P61" s="27"/>
      <c r="Q61" s="27"/>
      <c r="R61" s="27"/>
      <c r="S61" s="27"/>
      <c r="T61" s="27"/>
      <c r="U61" s="27"/>
      <c r="V61" s="27"/>
      <c r="W61" s="27"/>
      <c r="X61" s="27"/>
      <c r="Y61" s="27"/>
      <c r="Z61" s="39"/>
      <c r="AA61" s="27"/>
      <c r="AB61" s="27"/>
      <c r="AC61" s="27"/>
      <c r="AD61" s="27"/>
      <c r="AE61" s="27"/>
      <c r="AF61" s="27"/>
      <c r="AG61" s="205" t="str">
        <f>A61</f>
        <v>Compensation overtime</v>
      </c>
      <c r="AH61" s="218"/>
      <c r="AI61" s="238">
        <f>SUM(B61:AF61)</f>
        <v>0</v>
      </c>
      <c r="AJ61" s="214"/>
      <c r="AK61" s="209"/>
      <c r="AL61" s="209"/>
      <c r="AM61" s="209"/>
      <c r="AN61" s="208"/>
      <c r="AO61" s="209"/>
      <c r="AP61" s="209"/>
      <c r="AQ61" s="119"/>
    </row>
    <row r="62" spans="1:43" s="42" customFormat="1" ht="15" hidden="1" customHeight="1" outlineLevel="1" x14ac:dyDescent="0.2">
      <c r="A62" s="248"/>
      <c r="B62" s="253"/>
      <c r="C62" s="253"/>
      <c r="D62" s="253"/>
      <c r="E62" s="191"/>
      <c r="F62" s="253"/>
      <c r="G62" s="253"/>
      <c r="H62" s="253"/>
      <c r="I62" s="253"/>
      <c r="J62" s="251"/>
      <c r="K62" s="253"/>
      <c r="L62" s="252"/>
      <c r="M62" s="253"/>
      <c r="N62" s="253"/>
      <c r="O62" s="253"/>
      <c r="P62" s="253"/>
      <c r="Q62" s="191"/>
      <c r="R62" s="253"/>
      <c r="S62" s="252"/>
      <c r="T62" s="253"/>
      <c r="U62" s="253"/>
      <c r="V62" s="253"/>
      <c r="W62" s="253"/>
      <c r="X62" s="253"/>
      <c r="Y62" s="253"/>
      <c r="Z62" s="191"/>
      <c r="AA62" s="253"/>
      <c r="AB62" s="253"/>
      <c r="AC62" s="253"/>
      <c r="AD62" s="253"/>
      <c r="AE62" s="191"/>
      <c r="AF62" s="266"/>
      <c r="AG62" s="267" t="s">
        <v>118</v>
      </c>
      <c r="AH62" s="268"/>
      <c r="AI62" s="238">
        <f ca="1">Monat.AnUeZ.Total-Monat.KomUeZ.Total</f>
        <v>0</v>
      </c>
      <c r="AJ62" s="214"/>
      <c r="AK62" s="257"/>
      <c r="AL62" s="257"/>
      <c r="AM62" s="209"/>
      <c r="AN62" s="257"/>
      <c r="AO62" s="257"/>
      <c r="AP62" s="257"/>
      <c r="AQ62" s="163"/>
    </row>
    <row r="63" spans="1:43" s="38" customFormat="1" ht="15" customHeight="1" collapsed="1" x14ac:dyDescent="0.2">
      <c r="A63" s="220"/>
      <c r="B63" s="191"/>
      <c r="C63" s="191"/>
      <c r="D63" s="191"/>
      <c r="E63" s="191"/>
      <c r="F63" s="191"/>
      <c r="G63" s="191"/>
      <c r="H63" s="191"/>
      <c r="I63" s="191"/>
      <c r="J63" s="191"/>
      <c r="K63" s="191"/>
      <c r="L63" s="252"/>
      <c r="M63" s="191"/>
      <c r="N63" s="191"/>
      <c r="O63" s="191"/>
      <c r="P63" s="191"/>
      <c r="Q63" s="191"/>
      <c r="R63" s="191"/>
      <c r="S63" s="252"/>
      <c r="T63" s="191"/>
      <c r="U63" s="191"/>
      <c r="V63" s="191"/>
      <c r="W63" s="191"/>
      <c r="X63" s="253"/>
      <c r="Y63" s="191"/>
      <c r="Z63" s="191"/>
      <c r="AA63" s="191"/>
      <c r="AB63" s="191"/>
      <c r="AC63" s="191"/>
      <c r="AD63" s="191"/>
      <c r="AE63" s="191"/>
      <c r="AF63" s="269"/>
      <c r="AG63" s="212" t="s">
        <v>215</v>
      </c>
      <c r="AH63" s="218"/>
      <c r="AI63" s="238">
        <f ca="1">IF(T.50_Vetsuisse,0,IF(AND(AI62&gt;0,Monat.ÜZZSBerechtigt=INDEX(T.JaNein.Bereich,1,1)),ROUND(AI62*0.25*1440,0)/1440,0))</f>
        <v>0</v>
      </c>
      <c r="AJ63" s="214"/>
      <c r="AK63" s="209"/>
      <c r="AL63" s="257"/>
      <c r="AM63" s="209"/>
      <c r="AN63" s="257"/>
      <c r="AO63" s="257"/>
      <c r="AP63" s="257"/>
      <c r="AQ63" s="119"/>
    </row>
    <row r="64" spans="1:43" s="38" customFormat="1" ht="15" hidden="1" customHeight="1" outlineLevel="1" x14ac:dyDescent="0.2">
      <c r="A64" s="220"/>
      <c r="B64" s="191"/>
      <c r="C64" s="191"/>
      <c r="D64" s="191"/>
      <c r="E64" s="191"/>
      <c r="F64" s="191"/>
      <c r="G64" s="191"/>
      <c r="H64" s="191"/>
      <c r="I64" s="191"/>
      <c r="J64" s="191"/>
      <c r="K64" s="191"/>
      <c r="L64" s="252"/>
      <c r="M64" s="191"/>
      <c r="N64" s="191"/>
      <c r="O64" s="191"/>
      <c r="P64" s="191"/>
      <c r="Q64" s="191"/>
      <c r="R64" s="191"/>
      <c r="S64" s="252"/>
      <c r="T64" s="191"/>
      <c r="U64" s="191"/>
      <c r="V64" s="191"/>
      <c r="W64" s="191"/>
      <c r="X64" s="253"/>
      <c r="Y64" s="191"/>
      <c r="Z64" s="191"/>
      <c r="AA64" s="191"/>
      <c r="AB64" s="191"/>
      <c r="AC64" s="191"/>
      <c r="AD64" s="191"/>
      <c r="AE64" s="191"/>
      <c r="AF64" s="269"/>
      <c r="AG64" s="212" t="s">
        <v>119</v>
      </c>
      <c r="AH64" s="45" t="s">
        <v>2</v>
      </c>
      <c r="AI64" s="46"/>
      <c r="AJ64" s="270"/>
      <c r="AK64" s="209"/>
      <c r="AL64" s="257"/>
      <c r="AM64" s="209"/>
      <c r="AN64" s="257"/>
      <c r="AO64" s="257"/>
      <c r="AP64" s="257"/>
      <c r="AQ64" s="119"/>
    </row>
    <row r="65" spans="1:43" s="42" customFormat="1" ht="15" customHeight="1" collapsed="1" x14ac:dyDescent="0.2">
      <c r="A65" s="248"/>
      <c r="B65" s="253"/>
      <c r="C65" s="253"/>
      <c r="D65" s="253"/>
      <c r="E65" s="191"/>
      <c r="F65" s="253"/>
      <c r="G65" s="253"/>
      <c r="H65" s="253"/>
      <c r="I65" s="253"/>
      <c r="J65" s="191"/>
      <c r="K65" s="253"/>
      <c r="L65" s="252"/>
      <c r="M65" s="253"/>
      <c r="N65" s="253"/>
      <c r="O65" s="253"/>
      <c r="P65" s="253"/>
      <c r="Q65" s="191"/>
      <c r="R65" s="253"/>
      <c r="S65" s="252"/>
      <c r="T65" s="253"/>
      <c r="U65" s="253"/>
      <c r="V65" s="253"/>
      <c r="W65" s="253"/>
      <c r="X65" s="253"/>
      <c r="Y65" s="253"/>
      <c r="Z65" s="191"/>
      <c r="AA65" s="253"/>
      <c r="AB65" s="253"/>
      <c r="AC65" s="253"/>
      <c r="AD65" s="253"/>
      <c r="AE65" s="191"/>
      <c r="AF65" s="266"/>
      <c r="AG65" s="260" t="s">
        <v>219</v>
      </c>
      <c r="AH65" s="268"/>
      <c r="AI65" s="238">
        <f ca="1">IF(AH64="+",(AI62+AI63+AI64),(AI62+AI63-AI64))</f>
        <v>0</v>
      </c>
      <c r="AJ65" s="261"/>
      <c r="AK65" s="271"/>
      <c r="AL65" s="245">
        <f ca="1">IF(EB.Anwendung&lt;&gt;"",IF(MONTH(Monat.Tag1)=1,EB.UeZ,IF(MONTH(Monat.Tag1)=2,January!Monat.UeZUeVM,IF(MONTH(Monat.Tag1)=3,February!Monat.UeZUeVM,IF(MONTH(Monat.Tag1)=4,March!Monat.UeZUeVM,IF(MONTH(Monat.Tag1)=5,April!Monat.UeZUeVM,IF(MONTH(Monat.Tag1)=6,May!Monat.UeZUeVM,IF(MONTH(Monat.Tag1)=7,June!Monat.UeZUeVM,IF(MONTH(Monat.Tag1)=8,July!Monat.UeZUeVM,IF(MONTH(Monat.Tag1)=9,August!Monat.UeZUeVM,IF(MONTH(Monat.Tag1)=10,September!Monat.UeZUeVM,IF(MONTH(Monat.Tag1)=11,October!Monat.UeZUeVM,IF(MONTH(Monat.Tag1)=12,November!Monat.UeZUeVM,"")))))))))))),"")</f>
        <v>0</v>
      </c>
      <c r="AM65" s="209"/>
      <c r="AN65" s="246">
        <f ca="1">AI65+AL65</f>
        <v>0</v>
      </c>
      <c r="AO65" s="246">
        <f ca="1">SUM(OFFSET(J.UeZ.Total,-12,0,MONTH(Monat.Tag1),1))</f>
        <v>0</v>
      </c>
      <c r="AP65" s="246">
        <f ca="1">J.UeZ.Total</f>
        <v>0</v>
      </c>
      <c r="AQ65" s="163"/>
    </row>
    <row r="66" spans="1:43" s="38" customFormat="1" ht="11.25" customHeight="1" outlineLevel="1" x14ac:dyDescent="0.2">
      <c r="A66" s="220"/>
      <c r="B66" s="354">
        <f ca="1">IF(EB.Anwendung&lt;&gt;"",
IF(AND(B$10&gt;TODAY(),$W$7&gt;0,B52&lt;=0),0,
IF(AND(B$10&gt;TODAY(),$W$7&lt;=0,B53&lt;=0),0,
IF(B85&lt;=0,1,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f>
        <v>0</v>
      </c>
      <c r="C66" s="354">
        <f ca="1">IF(EB.Anwendung&lt;&gt;"",
IF(AND(C$10&gt;TODAY(),$W$7&gt;0,C52&lt;=0),0,
IF(AND(C$10&gt;TODAY(),$W$7&lt;=0,C53&lt;=0),0,
IF(C85&lt;=0,1,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f>
        <v>0</v>
      </c>
      <c r="D66" s="354">
        <f ca="1">IF(EB.Anwendung&lt;&gt;"",
IF(AND(D$10&gt;TODAY(),$W$7&gt;0,D52&lt;=0),0,
IF(AND(D$10&gt;TODAY(),$W$7&lt;=0,D53&lt;=0),0,
IF(D85&lt;=0,1,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f>
        <v>0</v>
      </c>
      <c r="E66" s="354">
        <f ca="1">IF(EB.Anwendung&lt;&gt;"",
IF(AND(E$10&gt;TODAY(),$W$7&gt;0,E52&lt;=0),0,
IF(AND(E$10&gt;TODAY(),$W$7&lt;=0,E53&lt;=0),0,
IF(E85&lt;=0,1,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f>
        <v>1</v>
      </c>
      <c r="F66" s="354">
        <f ca="1">IF(EB.Anwendung&lt;&gt;"",
IF(AND(F$10&gt;TODAY(),$W$7&gt;0,F52&lt;=0),0,
IF(AND(F$10&gt;TODAY(),$W$7&lt;=0,F53&lt;=0),0,
IF(F85&lt;=0,1,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f>
        <v>1</v>
      </c>
      <c r="G66" s="354">
        <f ca="1">IF(EB.Anwendung&lt;&gt;"",
IF(AND(G$10&gt;TODAY(),$W$7&gt;0,G52&lt;=0),0,
IF(AND(G$10&gt;TODAY(),$W$7&lt;=0,G53&lt;=0),0,
IF(G85&lt;=0,1,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f>
        <v>1</v>
      </c>
      <c r="H66" s="354">
        <f ca="1">IF(EB.Anwendung&lt;&gt;"",
IF(AND(H$10&gt;TODAY(),$W$7&gt;0,H52&lt;=0),0,
IF(AND(H$10&gt;TODAY(),$W$7&lt;=0,H53&lt;=0),0,
IF(H85&lt;=0,1,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f>
        <v>1</v>
      </c>
      <c r="I66" s="354">
        <f ca="1">IF(EB.Anwendung&lt;&gt;"",
IF(AND(I$10&gt;TODAY(),$W$7&gt;0,I52&lt;=0),0,
IF(AND(I$10&gt;TODAY(),$W$7&lt;=0,I53&lt;=0),0,
IF(I85&lt;=0,1,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f>
        <v>1</v>
      </c>
      <c r="J66" s="354">
        <f ca="1">IF(EB.Anwendung&lt;&gt;"",
IF(AND(J$10&gt;TODAY(),$W$7&gt;0,J52&lt;=0),0,
IF(AND(J$10&gt;TODAY(),$W$7&lt;=0,J53&lt;=0),0,
IF(J85&lt;=0,1,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f>
        <v>0</v>
      </c>
      <c r="K66" s="354">
        <f ca="1">IF(EB.Anwendung&lt;&gt;"",
IF(AND(K$10&gt;TODAY(),$W$7&gt;0,K52&lt;=0),0,
IF(AND(K$10&gt;TODAY(),$W$7&lt;=0,K53&lt;=0),0,
IF(K85&lt;=0,1,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f>
        <v>0</v>
      </c>
      <c r="L66" s="431">
        <f ca="1">IF(EB.Anwendung&lt;&gt;"",
IF(AND(L$10&gt;TODAY(),$W$7&gt;0,L52&lt;=0),0,
IF(AND(L$10&gt;TODAY(),$W$7&lt;=0,L53&lt;=0),0,
IF(L85&lt;=0,1,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f>
        <v>1</v>
      </c>
      <c r="M66" s="354">
        <f ca="1">IF(EB.Anwendung&lt;&gt;"",
IF(AND(M$10&gt;TODAY(),$W$7&gt;0,M52&lt;=0),0,
IF(AND(M$10&gt;TODAY(),$W$7&lt;=0,M53&lt;=0),0,
IF(M85&lt;=0,1,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f>
        <v>1</v>
      </c>
      <c r="N66" s="354">
        <f ca="1">IF(EB.Anwendung&lt;&gt;"",
IF(AND(N$10&gt;TODAY(),$W$7&gt;0,N52&lt;=0),0,
IF(AND(N$10&gt;TODAY(),$W$7&lt;=0,N53&lt;=0),0,
IF(N85&lt;=0,1,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f>
        <v>1</v>
      </c>
      <c r="O66" s="354">
        <f ca="1">IF(EB.Anwendung&lt;&gt;"",
IF(AND(O$10&gt;TODAY(),$W$7&gt;0,O52&lt;=0),0,
IF(AND(O$10&gt;TODAY(),$W$7&lt;=0,O53&lt;=0),0,
IF(O85&lt;=0,1,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f>
        <v>1</v>
      </c>
      <c r="P66" s="354">
        <f ca="1">IF(EB.Anwendung&lt;&gt;"",
IF(AND(P$10&gt;TODAY(),$W$7&gt;0,P52&lt;=0),0,
IF(AND(P$10&gt;TODAY(),$W$7&lt;=0,P53&lt;=0),0,
IF(P85&lt;=0,1,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f>
        <v>1</v>
      </c>
      <c r="Q66" s="354">
        <f ca="1">IF(EB.Anwendung&lt;&gt;"",
IF(AND(Q$10&gt;TODAY(),$W$7&gt;0,Q52&lt;=0),0,
IF(AND(Q$10&gt;TODAY(),$W$7&lt;=0,Q53&lt;=0),0,
IF(Q85&lt;=0,1,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f>
        <v>0</v>
      </c>
      <c r="R66" s="354">
        <f ca="1">IF(EB.Anwendung&lt;&gt;"",
IF(AND(R$10&gt;TODAY(),$W$7&gt;0,R52&lt;=0),0,
IF(AND(R$10&gt;TODAY(),$W$7&lt;=0,R53&lt;=0),0,
IF(R85&lt;=0,1,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f>
        <v>0</v>
      </c>
      <c r="S66" s="431">
        <f ca="1">IF(EB.Anwendung&lt;&gt;"",
IF(AND(S$10&gt;TODAY(),$W$7&gt;0,S52&lt;=0),0,
IF(AND(S$10&gt;TODAY(),$W$7&lt;=0,S53&lt;=0),0,
IF(S85&lt;=0,1,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f>
        <v>1</v>
      </c>
      <c r="T66" s="354">
        <f ca="1">IF(EB.Anwendung&lt;&gt;"",
IF(AND(T$10&gt;TODAY(),$W$7&gt;0,T52&lt;=0),0,
IF(AND(T$10&gt;TODAY(),$W$7&lt;=0,T53&lt;=0),0,
IF(T85&lt;=0,1,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f>
        <v>1</v>
      </c>
      <c r="U66" s="354">
        <f ca="1">IF(EB.Anwendung&lt;&gt;"",
IF(AND(U$10&gt;TODAY(),$W$7&gt;0,U52&lt;=0),0,
IF(AND(U$10&gt;TODAY(),$W$7&lt;=0,U53&lt;=0),0,
IF(U85&lt;=0,1,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f>
        <v>1</v>
      </c>
      <c r="V66" s="354">
        <f ca="1">IF(EB.Anwendung&lt;&gt;"",
IF(AND(V$10&gt;TODAY(),$W$7&gt;0,V52&lt;=0),0,
IF(AND(V$10&gt;TODAY(),$W$7&lt;=0,V53&lt;=0),0,
IF(V85&lt;=0,1,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f>
        <v>0</v>
      </c>
      <c r="W66" s="354">
        <f ca="1">IF(EB.Anwendung&lt;&gt;"",
IF(AND(W$10&gt;TODAY(),$W$7&gt;0,W52&lt;=0),0,
IF(AND(W$10&gt;TODAY(),$W$7&lt;=0,W53&lt;=0),0,
IF(W85&lt;=0,1,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f>
        <v>1</v>
      </c>
      <c r="X66" s="432">
        <f ca="1">IF(EB.Anwendung&lt;&gt;"",
IF(AND(X$10&gt;TODAY(),$W$7&gt;0,X52&lt;=0),0,
IF(AND(X$10&gt;TODAY(),$W$7&lt;=0,X53&lt;=0),0,
IF(X85&lt;=0,1,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f>
        <v>0</v>
      </c>
      <c r="Y66" s="354">
        <f ca="1">IF(EB.Anwendung&lt;&gt;"",
IF(AND(Y$10&gt;TODAY(),$W$7&gt;0,Y52&lt;=0),0,
IF(AND(Y$10&gt;TODAY(),$W$7&lt;=0,Y53&lt;=0),0,
IF(Y85&lt;=0,1,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f>
        <v>0</v>
      </c>
      <c r="Z66" s="354">
        <f ca="1">IF(EB.Anwendung&lt;&gt;"",
IF(AND(Z$10&gt;TODAY(),$W$7&gt;0,Z52&lt;=0),0,
IF(AND(Z$10&gt;TODAY(),$W$7&lt;=0,Z53&lt;=0),0,
IF(Z85&lt;=0,1,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f>
        <v>1</v>
      </c>
      <c r="AA66" s="354">
        <f ca="1">IF(EB.Anwendung&lt;&gt;"",
IF(AND(AA$10&gt;TODAY(),$W$7&gt;0,AA52&lt;=0),0,
IF(AND(AA$10&gt;TODAY(),$W$7&lt;=0,AA53&lt;=0),0,
IF(AA85&lt;=0,1,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f>
        <v>1</v>
      </c>
      <c r="AB66" s="354">
        <f ca="1">IF(EB.Anwendung&lt;&gt;"",
IF(AND(AB$10&gt;TODAY(),$W$7&gt;0,AB52&lt;=0),0,
IF(AND(AB$10&gt;TODAY(),$W$7&lt;=0,AB53&lt;=0),0,
IF(AB85&lt;=0,1,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f>
        <v>1</v>
      </c>
      <c r="AC66" s="354">
        <f ca="1">IF(EB.Anwendung&lt;&gt;"",
IF(AND(AC$10&gt;TODAY(),$W$7&gt;0,AC52&lt;=0),0,
IF(AND(AC$10&gt;TODAY(),$W$7&lt;=0,AC53&lt;=0),0,
IF(AC85&lt;=0,1,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f>
        <v>1</v>
      </c>
      <c r="AD66" s="354">
        <f ca="1">IF(EB.Anwendung&lt;&gt;"",
IF(AND(AD$10&gt;TODAY(),$W$7&gt;0,AD52&lt;=0),0,
IF(AND(AD$10&gt;TODAY(),$W$7&lt;=0,AD53&lt;=0),0,
IF(AD85&lt;=0,1,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f>
        <v>1</v>
      </c>
      <c r="AE66" s="354">
        <f ca="1">IF(EB.Anwendung&lt;&gt;"",
IF(AND(AE$10&gt;TODAY(),$W$7&gt;0,AE52&lt;=0),0,
IF(AND(AE$10&gt;TODAY(),$W$7&lt;=0,AE53&lt;=0),0,
IF(AE85&lt;=0,1,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f>
        <v>0</v>
      </c>
      <c r="AF66" s="433">
        <f ca="1">IF(EB.Anwendung&lt;&gt;"",
IF(AND(AF$10&gt;TODAY(),$W$7&gt;0,AF52&lt;=0),0,
IF(AND(AF$10&gt;TODAY(),$W$7&lt;=0,AF53&lt;=0),0,
IF(AF85&lt;=0,1,
IF(DAY(AF$10)=1,IF(MONTH(Monat.Tag1)=1,1,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E68)))),"")</f>
        <v>0</v>
      </c>
      <c r="AG66" s="212"/>
      <c r="AH66" s="188"/>
      <c r="AI66" s="213"/>
      <c r="AJ66" s="214"/>
      <c r="AK66" s="209"/>
      <c r="AL66" s="209"/>
      <c r="AM66" s="209"/>
      <c r="AN66" s="208"/>
      <c r="AO66" s="209"/>
      <c r="AP66" s="209"/>
      <c r="AQ66" s="119"/>
    </row>
    <row r="67" spans="1:43" s="38" customFormat="1" ht="15" customHeight="1" outlineLevel="1" x14ac:dyDescent="0.2">
      <c r="A67" s="212" t="s">
        <v>79</v>
      </c>
      <c r="B67" s="27"/>
      <c r="C67" s="27"/>
      <c r="D67" s="27"/>
      <c r="E67" s="27"/>
      <c r="F67" s="27"/>
      <c r="G67" s="27"/>
      <c r="H67" s="27"/>
      <c r="I67" s="27"/>
      <c r="J67" s="27"/>
      <c r="K67" s="27"/>
      <c r="L67" s="27"/>
      <c r="M67" s="27"/>
      <c r="N67" s="27"/>
      <c r="O67" s="27"/>
      <c r="P67" s="27"/>
      <c r="Q67" s="27"/>
      <c r="R67" s="27"/>
      <c r="S67" s="27"/>
      <c r="T67" s="27"/>
      <c r="U67" s="27"/>
      <c r="V67" s="27"/>
      <c r="W67" s="27"/>
      <c r="X67" s="27"/>
      <c r="Y67" s="27"/>
      <c r="Z67" s="39"/>
      <c r="AA67" s="27"/>
      <c r="AB67" s="27"/>
      <c r="AC67" s="27"/>
      <c r="AD67" s="27"/>
      <c r="AE67" s="27"/>
      <c r="AF67" s="27"/>
      <c r="AG67" s="205" t="str">
        <f ca="1">A67 &amp; IFERROR(IF(SUMPRODUCT((B66:AF66=0)*(B67:AF67&gt;0))&gt;0," (!)",""),"")</f>
        <v>Compensation working hours</v>
      </c>
      <c r="AH67" s="218"/>
      <c r="AI67" s="238">
        <f>SUM(B67:AF67)</f>
        <v>0</v>
      </c>
      <c r="AJ67" s="261"/>
      <c r="AK67" s="245">
        <f ca="1">OFFSET(EB.MKAStd.Knoten,MONTH(Monat.Tag1),0,1,1)</f>
        <v>0.4375</v>
      </c>
      <c r="AL67" s="272">
        <f ca="1">IF(EB.Anwendung&lt;&gt;"",IF(MONTH(Monat.Tag1)=1,0,IF(MONTH(Monat.Tag1)=2,January!Monat.KomUeVM,IF(MONTH(Monat.Tag1)=3,February!Monat.KomUeVM,IF(MONTH(Monat.Tag1)=4,March!Monat.KomUeVM,IF(MONTH(Monat.Tag1)=5,April!Monat.KomUeVM,IF(MONTH(Monat.Tag1)=6,May!Monat.KomUeVM,IF(MONTH(Monat.Tag1)=7,June!Monat.KomUeVM,IF(MONTH(Monat.Tag1)=8,July!Monat.KomUeVM,IF(MONTH(Monat.Tag1)=9,August!Monat.KomUeVM,IF(MONTH(Monat.Tag1)=10,September!Monat.KomUeVM,IF(MONTH(Monat.Tag1)=11,October!Monat.KomUeVM,IF(MONTH(Monat.Tag1)=12,November!Monat.KomUeVM,"")))))))))))),"")</f>
        <v>1.75</v>
      </c>
      <c r="AM67" s="209"/>
      <c r="AN67" s="246">
        <f ca="1">AK67+AL67-Monat.KomAZ.Total</f>
        <v>2.1875</v>
      </c>
      <c r="AO67" s="246">
        <f ca="1">Jahresabrechnung!P12-SUM(OFFSET(Jahresabrechnung!P15,0,0,MONTH(Monat.Tag1),1))</f>
        <v>5.25</v>
      </c>
      <c r="AP67" s="246">
        <f ca="1">Jahresabrechnung!P28</f>
        <v>5.25</v>
      </c>
      <c r="AQ67" s="119"/>
    </row>
    <row r="68" spans="1:43" s="38" customFormat="1" ht="11.25" customHeight="1" x14ac:dyDescent="0.2">
      <c r="A68" s="220"/>
      <c r="B68" s="434">
        <f ca="1">IF(EB.Anwendung&lt;&gt;"",
IF(B67&gt;0,0,
IF(SUM(B23,B45)&gt;0,1,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
)),"")</f>
        <v>1</v>
      </c>
      <c r="C68" s="434">
        <f ca="1">IF(EB.Anwendung&lt;&gt;"",
IF(C67&gt;0,0,
IF(SUM(C23,C45)&gt;0,1,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
)),"")</f>
        <v>1</v>
      </c>
      <c r="D68" s="434">
        <f ca="1">IF(EB.Anwendung&lt;&gt;"",
IF(D67&gt;0,0,
IF(SUM(D23,D45)&gt;0,1,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
)),"")</f>
        <v>1</v>
      </c>
      <c r="E68" s="434">
        <f ca="1">IF(EB.Anwendung&lt;&gt;"",
IF(E67&gt;0,0,
IF(SUM(E23,E45)&gt;0,1,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
)),"")</f>
        <v>1</v>
      </c>
      <c r="F68" s="434">
        <f ca="1">IF(EB.Anwendung&lt;&gt;"",
IF(F67&gt;0,0,
IF(SUM(F23,F45)&gt;0,1,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
)),"")</f>
        <v>1</v>
      </c>
      <c r="G68" s="434">
        <f ca="1">IF(EB.Anwendung&lt;&gt;"",
IF(G67&gt;0,0,
IF(SUM(G23,G45)&gt;0,1,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
)),"")</f>
        <v>1</v>
      </c>
      <c r="H68" s="434">
        <f ca="1">IF(EB.Anwendung&lt;&gt;"",
IF(H67&gt;0,0,
IF(SUM(H23,H45)&gt;0,1,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
)),"")</f>
        <v>1</v>
      </c>
      <c r="I68" s="434">
        <f ca="1">IF(EB.Anwendung&lt;&gt;"",
IF(I67&gt;0,0,
IF(SUM(I23,I45)&gt;0,1,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
)),"")</f>
        <v>1</v>
      </c>
      <c r="J68" s="434">
        <f ca="1">IF(EB.Anwendung&lt;&gt;"",
IF(J67&gt;0,0,
IF(SUM(J23,J45)&gt;0,1,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
)),"")</f>
        <v>1</v>
      </c>
      <c r="K68" s="434">
        <f ca="1">IF(EB.Anwendung&lt;&gt;"",
IF(K67&gt;0,0,
IF(SUM(K23,K45)&gt;0,1,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
)),"")</f>
        <v>1</v>
      </c>
      <c r="L68" s="434">
        <f ca="1">IF(EB.Anwendung&lt;&gt;"",
IF(L67&gt;0,0,
IF(SUM(L23,L45)&gt;0,1,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
)),"")</f>
        <v>1</v>
      </c>
      <c r="M68" s="434">
        <f ca="1">IF(EB.Anwendung&lt;&gt;"",
IF(M67&gt;0,0,
IF(SUM(M23,M45)&gt;0,1,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
)),"")</f>
        <v>1</v>
      </c>
      <c r="N68" s="434">
        <f ca="1">IF(EB.Anwendung&lt;&gt;"",
IF(N67&gt;0,0,
IF(SUM(N23,N45)&gt;0,1,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
)),"")</f>
        <v>1</v>
      </c>
      <c r="O68" s="434">
        <f ca="1">IF(EB.Anwendung&lt;&gt;"",
IF(O67&gt;0,0,
IF(SUM(O23,O45)&gt;0,1,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
)),"")</f>
        <v>1</v>
      </c>
      <c r="P68" s="434">
        <f ca="1">IF(EB.Anwendung&lt;&gt;"",
IF(P67&gt;0,0,
IF(SUM(P23,P45)&gt;0,1,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
)),"")</f>
        <v>1</v>
      </c>
      <c r="Q68" s="434">
        <f ca="1">IF(EB.Anwendung&lt;&gt;"",
IF(Q67&gt;0,0,
IF(SUM(Q23,Q45)&gt;0,1,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
)),"")</f>
        <v>1</v>
      </c>
      <c r="R68" s="434">
        <f ca="1">IF(EB.Anwendung&lt;&gt;"",
IF(R67&gt;0,0,
IF(SUM(R23,R45)&gt;0,1,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
)),"")</f>
        <v>1</v>
      </c>
      <c r="S68" s="434">
        <f ca="1">IF(EB.Anwendung&lt;&gt;"",
IF(S67&gt;0,0,
IF(SUM(S23,S45)&gt;0,1,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
)),"")</f>
        <v>1</v>
      </c>
      <c r="T68" s="434">
        <f ca="1">IF(EB.Anwendung&lt;&gt;"",
IF(T67&gt;0,0,
IF(SUM(T23,T45)&gt;0,1,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
)),"")</f>
        <v>1</v>
      </c>
      <c r="U68" s="434">
        <f ca="1">IF(EB.Anwendung&lt;&gt;"",
IF(U67&gt;0,0,
IF(SUM(U23,U45)&gt;0,1,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
)),"")</f>
        <v>1</v>
      </c>
      <c r="V68" s="434">
        <f ca="1">IF(EB.Anwendung&lt;&gt;"",
IF(V67&gt;0,0,
IF(SUM(V23,V45)&gt;0,1,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
)),"")</f>
        <v>1</v>
      </c>
      <c r="W68" s="434">
        <f ca="1">IF(EB.Anwendung&lt;&gt;"",
IF(W67&gt;0,0,
IF(SUM(W23,W45)&gt;0,1,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
)),"")</f>
        <v>1</v>
      </c>
      <c r="X68" s="434">
        <f ca="1">IF(EB.Anwendung&lt;&gt;"",
IF(X67&gt;0,0,
IF(SUM(X23,X45)&gt;0,1,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
)),"")</f>
        <v>1</v>
      </c>
      <c r="Y68" s="434">
        <f ca="1">IF(EB.Anwendung&lt;&gt;"",
IF(Y67&gt;0,0,
IF(SUM(Y23,Y45)&gt;0,1,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
)),"")</f>
        <v>1</v>
      </c>
      <c r="Z68" s="434">
        <f ca="1">IF(EB.Anwendung&lt;&gt;"",
IF(Z67&gt;0,0,
IF(SUM(Z23,Z45)&gt;0,1,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
)),"")</f>
        <v>1</v>
      </c>
      <c r="AA68" s="434">
        <f ca="1">IF(EB.Anwendung&lt;&gt;"",
IF(AA67&gt;0,0,
IF(SUM(AA23,AA45)&gt;0,1,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
)),"")</f>
        <v>1</v>
      </c>
      <c r="AB68" s="434">
        <f ca="1">IF(EB.Anwendung&lt;&gt;"",
IF(AB67&gt;0,0,
IF(SUM(AB23,AB45)&gt;0,1,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
)),"")</f>
        <v>1</v>
      </c>
      <c r="AC68" s="434">
        <f ca="1">IF(EB.Anwendung&lt;&gt;"",
IF(AC67&gt;0,0,
IF(SUM(AC23,AC45)&gt;0,1,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
)),"")</f>
        <v>1</v>
      </c>
      <c r="AD68" s="434">
        <f ca="1">IF(EB.Anwendung&lt;&gt;"",
IF(AD67&gt;0,0,
IF(SUM(AD23,AD45)&gt;0,1,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
)),"")</f>
        <v>1</v>
      </c>
      <c r="AE68" s="434">
        <f ca="1">IF(EB.Anwendung&lt;&gt;"",
IF(AE67&gt;0,0,
IF(SUM(AE23,AE45)&gt;0,1,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
)),"")</f>
        <v>1</v>
      </c>
      <c r="AF68" s="435">
        <f ca="1">IF(EB.Anwendung&lt;&gt;"",
IF(AF67&gt;0,0,
IF(SUM(AF23,AF45)&gt;0,1,
IF(DAY(AF$10)=1,IF(MONTH(Monat.Tag1)=1,1,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E68)
)),"")</f>
        <v>1</v>
      </c>
      <c r="AG68" s="205"/>
      <c r="AH68" s="188"/>
      <c r="AI68" s="213"/>
      <c r="AJ68" s="214"/>
      <c r="AK68" s="209"/>
      <c r="AL68" s="209"/>
      <c r="AM68" s="209"/>
      <c r="AN68" s="436">
        <f ca="1">IF(OFFSET(A68,0,DAY(EOMONTH(Monat.Tag1,0)))=0,0,1)</f>
        <v>1</v>
      </c>
      <c r="AO68" s="209"/>
      <c r="AP68" s="209"/>
      <c r="AQ68" s="119"/>
    </row>
    <row r="69" spans="1:43" s="38" customFormat="1" ht="15" hidden="1" customHeight="1" x14ac:dyDescent="0.2">
      <c r="A69" s="212" t="s">
        <v>220</v>
      </c>
      <c r="B69" s="273">
        <f t="shared" ref="B69:AF69" ca="1" si="18">IF(AND(T.50_Vetsuisse,B72=INDEX(T.JaNein.Bereich,1,1),B73&gt;0,MOD(IFERROR(MATCH(1,B13:B22,0),1),2)=0),1,
IF(AND(T.ServiceCenterIrchel,B72=INDEX(T.JaNein.Bereich,1,1),B77&gt;0),1,
IF(AND(T.50_Vetsuisse=FALSE,T.ServiceCenterIrchel=FALSE,B77&gt;0),1,0)))</f>
        <v>0</v>
      </c>
      <c r="C69" s="273">
        <f t="shared" ca="1" si="18"/>
        <v>0</v>
      </c>
      <c r="D69" s="273">
        <f t="shared" ca="1" si="18"/>
        <v>0</v>
      </c>
      <c r="E69" s="273">
        <f t="shared" ca="1" si="18"/>
        <v>0</v>
      </c>
      <c r="F69" s="273">
        <f t="shared" ca="1" si="18"/>
        <v>0</v>
      </c>
      <c r="G69" s="273">
        <f t="shared" ca="1" si="18"/>
        <v>0</v>
      </c>
      <c r="H69" s="273">
        <f t="shared" ca="1" si="18"/>
        <v>0</v>
      </c>
      <c r="I69" s="273">
        <f t="shared" ca="1" si="18"/>
        <v>0</v>
      </c>
      <c r="J69" s="273">
        <f t="shared" ca="1" si="18"/>
        <v>0</v>
      </c>
      <c r="K69" s="273">
        <f t="shared" ca="1" si="18"/>
        <v>0</v>
      </c>
      <c r="L69" s="273">
        <f t="shared" ca="1" si="18"/>
        <v>0</v>
      </c>
      <c r="M69" s="273">
        <f t="shared" ca="1" si="18"/>
        <v>0</v>
      </c>
      <c r="N69" s="273">
        <f t="shared" ca="1" si="18"/>
        <v>0</v>
      </c>
      <c r="O69" s="273">
        <f t="shared" ca="1" si="18"/>
        <v>0</v>
      </c>
      <c r="P69" s="273">
        <f t="shared" ca="1" si="18"/>
        <v>0</v>
      </c>
      <c r="Q69" s="273">
        <f t="shared" ca="1" si="18"/>
        <v>0</v>
      </c>
      <c r="R69" s="273">
        <f t="shared" ca="1" si="18"/>
        <v>0</v>
      </c>
      <c r="S69" s="273">
        <f t="shared" ca="1" si="18"/>
        <v>0</v>
      </c>
      <c r="T69" s="273">
        <f t="shared" ca="1" si="18"/>
        <v>0</v>
      </c>
      <c r="U69" s="273">
        <f t="shared" ca="1" si="18"/>
        <v>0</v>
      </c>
      <c r="V69" s="273">
        <f t="shared" ca="1" si="18"/>
        <v>0</v>
      </c>
      <c r="W69" s="273">
        <f t="shared" ca="1" si="18"/>
        <v>0</v>
      </c>
      <c r="X69" s="273">
        <f t="shared" ca="1" si="18"/>
        <v>0</v>
      </c>
      <c r="Y69" s="273">
        <f t="shared" ca="1" si="18"/>
        <v>0</v>
      </c>
      <c r="Z69" s="273">
        <f t="shared" ca="1" si="18"/>
        <v>0</v>
      </c>
      <c r="AA69" s="273">
        <f t="shared" ca="1" si="18"/>
        <v>0</v>
      </c>
      <c r="AB69" s="273">
        <f t="shared" ca="1" si="18"/>
        <v>0</v>
      </c>
      <c r="AC69" s="273">
        <f t="shared" ca="1" si="18"/>
        <v>0</v>
      </c>
      <c r="AD69" s="273">
        <f t="shared" ca="1" si="18"/>
        <v>0</v>
      </c>
      <c r="AE69" s="273">
        <f t="shared" ca="1" si="18"/>
        <v>0</v>
      </c>
      <c r="AF69" s="273">
        <f t="shared" ca="1" si="18"/>
        <v>0</v>
      </c>
      <c r="AG69" s="205" t="str">
        <f>A69</f>
        <v>Counter night shift</v>
      </c>
      <c r="AH69" s="274"/>
      <c r="AI69" s="275">
        <f ca="1">SUM(B69:AF69)</f>
        <v>0</v>
      </c>
      <c r="AJ69" s="261"/>
      <c r="AK69" s="224"/>
      <c r="AL69" s="276">
        <f ca="1">IF(EB.Anwendung&lt;&gt;"",IF(MONTH(Monat.Tag1)=1,0,IF(MONTH(Monat.Tag1)=2,January!Monat.ZählerNDUe,IF(MONTH(Monat.Tag1)=3,February!Monat.ZählerNDUe,IF(MONTH(Monat.Tag1)=4,March!Monat.ZählerNDUe,IF(MONTH(Monat.Tag1)=5,April!Monat.ZählerNDUe,IF(MONTH(Monat.Tag1)=6,May!Monat.ZählerNDUe,IF(MONTH(Monat.Tag1)=7,June!Monat.ZählerNDUe,IF(MONTH(Monat.Tag1)=8,July!Monat.ZählerNDUe,IF(MONTH(Monat.Tag1)=9,August!Monat.ZählerNDUe,IF(MONTH(Monat.Tag1)=10,September!Monat.ZählerNDUe,IF(MONTH(Monat.Tag1)=11,October!Monat.ZählerNDUe,IF(MONTH(Monat.Tag1)=12,November!Monat.ZählerNDUe,"")))))))))))),"")</f>
        <v>0</v>
      </c>
      <c r="AM69" s="209"/>
      <c r="AN69" s="277">
        <f ca="1">AL69+AI69</f>
        <v>0</v>
      </c>
      <c r="AO69" s="208"/>
      <c r="AP69" s="208"/>
      <c r="AQ69" s="119"/>
    </row>
    <row r="70" spans="1:43" s="38" customFormat="1" ht="15" hidden="1" customHeight="1" x14ac:dyDescent="0.2">
      <c r="A70" s="212" t="s">
        <v>221</v>
      </c>
      <c r="B70" s="273">
        <f t="shared" ref="B70:AF70" ca="1" si="19">IF(DAY(B$10)=1,$AL$69,A70)+B69</f>
        <v>0</v>
      </c>
      <c r="C70" s="273">
        <f t="shared" ca="1" si="19"/>
        <v>0</v>
      </c>
      <c r="D70" s="273">
        <f t="shared" ca="1" si="19"/>
        <v>0</v>
      </c>
      <c r="E70" s="273">
        <f t="shared" ca="1" si="19"/>
        <v>0</v>
      </c>
      <c r="F70" s="273">
        <f t="shared" ca="1" si="19"/>
        <v>0</v>
      </c>
      <c r="G70" s="273">
        <f t="shared" ca="1" si="19"/>
        <v>0</v>
      </c>
      <c r="H70" s="273">
        <f t="shared" ca="1" si="19"/>
        <v>0</v>
      </c>
      <c r="I70" s="273">
        <f t="shared" ca="1" si="19"/>
        <v>0</v>
      </c>
      <c r="J70" s="273">
        <f t="shared" ca="1" si="19"/>
        <v>0</v>
      </c>
      <c r="K70" s="273">
        <f t="shared" ca="1" si="19"/>
        <v>0</v>
      </c>
      <c r="L70" s="273">
        <f t="shared" ca="1" si="19"/>
        <v>0</v>
      </c>
      <c r="M70" s="273">
        <f t="shared" ca="1" si="19"/>
        <v>0</v>
      </c>
      <c r="N70" s="273">
        <f t="shared" ca="1" si="19"/>
        <v>0</v>
      </c>
      <c r="O70" s="273">
        <f t="shared" ca="1" si="19"/>
        <v>0</v>
      </c>
      <c r="P70" s="273">
        <f t="shared" ca="1" si="19"/>
        <v>0</v>
      </c>
      <c r="Q70" s="273">
        <f t="shared" ca="1" si="19"/>
        <v>0</v>
      </c>
      <c r="R70" s="273">
        <f t="shared" ca="1" si="19"/>
        <v>0</v>
      </c>
      <c r="S70" s="273">
        <f t="shared" ca="1" si="19"/>
        <v>0</v>
      </c>
      <c r="T70" s="273">
        <f t="shared" ca="1" si="19"/>
        <v>0</v>
      </c>
      <c r="U70" s="273">
        <f t="shared" ca="1" si="19"/>
        <v>0</v>
      </c>
      <c r="V70" s="273">
        <f t="shared" ca="1" si="19"/>
        <v>0</v>
      </c>
      <c r="W70" s="273">
        <f t="shared" ca="1" si="19"/>
        <v>0</v>
      </c>
      <c r="X70" s="273">
        <f t="shared" ca="1" si="19"/>
        <v>0</v>
      </c>
      <c r="Y70" s="273">
        <f t="shared" ca="1" si="19"/>
        <v>0</v>
      </c>
      <c r="Z70" s="273">
        <f t="shared" ca="1" si="19"/>
        <v>0</v>
      </c>
      <c r="AA70" s="273">
        <f t="shared" ca="1" si="19"/>
        <v>0</v>
      </c>
      <c r="AB70" s="273">
        <f t="shared" ca="1" si="19"/>
        <v>0</v>
      </c>
      <c r="AC70" s="273">
        <f t="shared" ca="1" si="19"/>
        <v>0</v>
      </c>
      <c r="AD70" s="273">
        <f t="shared" ca="1" si="19"/>
        <v>0</v>
      </c>
      <c r="AE70" s="273">
        <f t="shared" ca="1" si="19"/>
        <v>0</v>
      </c>
      <c r="AF70" s="273">
        <f t="shared" ca="1" si="19"/>
        <v>0</v>
      </c>
      <c r="AG70" s="205" t="str">
        <f t="shared" ref="AG70:AG82" si="20">A70</f>
        <v>Balance counter night shift</v>
      </c>
      <c r="AH70" s="228"/>
      <c r="AI70" s="224"/>
      <c r="AJ70" s="278"/>
      <c r="AK70" s="262"/>
      <c r="AL70" s="262"/>
      <c r="AM70" s="209"/>
      <c r="AN70" s="279"/>
      <c r="AO70" s="208"/>
      <c r="AP70" s="208"/>
      <c r="AQ70" s="119"/>
    </row>
    <row r="71" spans="1:43" s="38" customFormat="1" ht="15" hidden="1" customHeight="1" outlineLevel="1" x14ac:dyDescent="0.2">
      <c r="A71" s="212" t="s">
        <v>222</v>
      </c>
      <c r="B71" s="40"/>
      <c r="C71" s="40"/>
      <c r="D71" s="40"/>
      <c r="E71" s="27"/>
      <c r="F71" s="40"/>
      <c r="G71" s="40"/>
      <c r="H71" s="40"/>
      <c r="I71" s="40"/>
      <c r="J71" s="27"/>
      <c r="K71" s="40"/>
      <c r="L71" s="27"/>
      <c r="M71" s="40"/>
      <c r="N71" s="40"/>
      <c r="O71" s="40"/>
      <c r="P71" s="40"/>
      <c r="Q71" s="27"/>
      <c r="R71" s="40"/>
      <c r="S71" s="27"/>
      <c r="T71" s="27"/>
      <c r="U71" s="40"/>
      <c r="V71" s="40"/>
      <c r="W71" s="40"/>
      <c r="X71" s="27"/>
      <c r="Y71" s="40"/>
      <c r="Z71" s="39"/>
      <c r="AA71" s="40"/>
      <c r="AB71" s="40"/>
      <c r="AC71" s="40"/>
      <c r="AD71" s="40"/>
      <c r="AE71" s="27"/>
      <c r="AF71" s="40"/>
      <c r="AG71" s="205" t="str">
        <f t="shared" si="20"/>
        <v>Compensation TS night shift</v>
      </c>
      <c r="AH71" s="218"/>
      <c r="AI71" s="238">
        <f t="shared" ref="AI71" si="21">SUM(B71:AF71)</f>
        <v>0</v>
      </c>
      <c r="AJ71" s="261"/>
      <c r="AK71" s="262"/>
      <c r="AL71" s="245">
        <f ca="1">IF(EB.Anwendung&lt;&gt;"",IF(MONTH(Monat.Tag1)=1,0,IF(MONTH(Monat.Tag1)=2,January!Monat.KompZZSNDUeVM,IF(MONTH(Monat.Tag1)=3,February!Monat.KompZZSNDUeVM,IF(MONTH(Monat.Tag1)=4,March!Monat.KompZZSNDUeVM,IF(MONTH(Monat.Tag1)=5,April!Monat.KompZZSNDUeVM,IF(MONTH(Monat.Tag1)=6,May!Monat.KompZZSNDUeVM,IF(MONTH(Monat.Tag1)=7,June!Monat.KompZZSNDUeVM,IF(MONTH(Monat.Tag1)=8,July!Monat.KompZZSNDUeVM,IF(MONTH(Monat.Tag1)=9,August!Monat.KompZZSNDUeVM,IF(MONTH(Monat.Tag1)=10,September!Monat.KompZZSNDUeVM,IF(MONTH(Monat.Tag1)=11,October!Monat.KompZZSNDUeVM,IF(MONTH(Monat.Tag1)=12,November!Monat.KompZZSNDUeVM,"")))))))))))),"")</f>
        <v>0</v>
      </c>
      <c r="AM71" s="209"/>
      <c r="AN71" s="246">
        <f ca="1">AI71+AL71</f>
        <v>0</v>
      </c>
      <c r="AO71" s="246">
        <f ca="1">SUM(OFFSET(Jahr.KompZZSND,-12,0,MONTH(Monat.Tag1),1))</f>
        <v>0</v>
      </c>
      <c r="AP71" s="246">
        <f ca="1">Jahr.KompZZSND</f>
        <v>0</v>
      </c>
      <c r="AQ71" s="119"/>
    </row>
    <row r="72" spans="1:43" s="38" customFormat="1" ht="15" hidden="1" customHeight="1" outlineLevel="1" x14ac:dyDescent="0.2">
      <c r="A72" s="212" t="s">
        <v>223</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205" t="str">
        <f t="shared" si="20"/>
        <v>Start pl. night shift Yes/No</v>
      </c>
      <c r="AH72" s="218"/>
      <c r="AI72" s="224"/>
      <c r="AJ72" s="229">
        <f ca="1">IFERROR(SUMPRODUCT((B72:AF72=INDEX(T.JaNein.Bereich,1))*(B72:AF72&lt;&gt;"")),0)</f>
        <v>0</v>
      </c>
      <c r="AK72" s="262"/>
      <c r="AL72" s="229">
        <f ca="1">AL69</f>
        <v>0</v>
      </c>
      <c r="AM72" s="209"/>
      <c r="AN72" s="277">
        <f ca="1">AN69</f>
        <v>0</v>
      </c>
      <c r="AO72" s="209"/>
      <c r="AP72" s="209"/>
      <c r="AQ72" s="119"/>
    </row>
    <row r="73" spans="1:43" s="38" customFormat="1" ht="15" customHeight="1" outlineLevel="1" x14ac:dyDescent="0.2">
      <c r="A73" s="212" t="s">
        <v>88</v>
      </c>
      <c r="B73" s="280">
        <f t="shared" ref="B73:AF73" ca="1" si="22">IF(B$12=0,0,IF(OR(T.50_Vetsuisse,T.ServiceCenterIrchel),ROUND((B14-B13+MAX(0,T.Nachtab-MAX(T.Nachtbis,B14))-MAX(0,T.Nachtab-MAX(B13,T.Nachtbis))+(B13&gt;B14)*(1+T.Nachtbis-T.Nachtab)+B16-B15+MAX(0,T.Nachtab-MAX(T.Nachtbis,B16))-MAX(0,T.Nachtab-MAX(B15,T.Nachtbis))+(B15&gt;B16)*(1+T.Nachtbis-T.Nachtab)+B18-B17+MAX(0,T.Nachtab-MAX(T.Nachtbis,B18))-MAX(0,T.Nachtab-MAX(B17,T.Nachtbis))+(B17&gt;B18)*(1+T.Nachtbis-T.Nachtab)+B20-B19+MAX(0,T.Nachtab-MAX(T.Nachtbis,B20))-MAX(0,T.Nachtab-MAX(B19,T.Nachtbis))+(B19&gt;B20)*(1+T.Nachtbis-T.Nachtab)+B22-B21+MAX(0,T.Nachtab-MAX(T.Nachtbis,B22))-MAX(0,T.Nachtab-MAX(B21,T.Nachtbis))+(B21&gt;B22)*(1+T.Nachtbis-T.Nachtab))*1440,0)/1440,
IF(AND(WEEKDAY(B$10,2)&lt;6,B$11&lt;&gt;0),ROUND((B36-B35+MAX(0,T.Nachtab-MAX(T.Nachtbis,B36))-MAX(0,T.Nachtab-MAX(B35,T.Nachtbis))+(B35&gt;B36)*(1+T.Nachtbis-T.Nachtab)+B38-B37+MAX(0,T.Nachtab-MAX(T.Nachtbis,B38))-MAX(0,T.Nachtab-MAX(B37,T.Nachtbis))+(B37&gt;B38)*(1+T.Nachtbis-T.Nachtab)+B40-B39+MAX(0,T.Nachtab-MAX(T.Nachtbis,B40))-MAX(0,T.Nachtab-MAX(B39,T.Nachtbis))+(B39&gt;B40)*(1+T.Nachtbis-T.Nachtab)+B42-B41+MAX(0,T.Nachtab-MAX(T.Nachtbis,B42))-MAX(0,T.Nachtab-MAX(B41,T.Nachtbis))+(B41&gt;B42)*(1+T.Nachtbis-T.Nachtab)+B44-B43+MAX(0,T.Nachtab-MAX(T.Nachtbis,B44))-MAX(0,T.Nachtab-MAX(B43,T.Nachtbis))+(B43&gt;B44)*(1+T.Nachtbis-T.Nachtab))*1440,0)/1440,0)))</f>
        <v>0</v>
      </c>
      <c r="C73" s="280">
        <f t="shared" ca="1" si="22"/>
        <v>0</v>
      </c>
      <c r="D73" s="280">
        <f t="shared" ca="1" si="22"/>
        <v>0</v>
      </c>
      <c r="E73" s="280">
        <f t="shared" ca="1" si="22"/>
        <v>0</v>
      </c>
      <c r="F73" s="280">
        <f t="shared" ca="1" si="22"/>
        <v>0</v>
      </c>
      <c r="G73" s="280">
        <f t="shared" ca="1" si="22"/>
        <v>0</v>
      </c>
      <c r="H73" s="280">
        <f t="shared" ca="1" si="22"/>
        <v>0</v>
      </c>
      <c r="I73" s="280">
        <f t="shared" ca="1" si="22"/>
        <v>0</v>
      </c>
      <c r="J73" s="280">
        <f t="shared" ca="1" si="22"/>
        <v>0</v>
      </c>
      <c r="K73" s="280">
        <f t="shared" ca="1" si="22"/>
        <v>0</v>
      </c>
      <c r="L73" s="280">
        <f t="shared" ca="1" si="22"/>
        <v>0</v>
      </c>
      <c r="M73" s="280">
        <f t="shared" ca="1" si="22"/>
        <v>0</v>
      </c>
      <c r="N73" s="280">
        <f t="shared" ca="1" si="22"/>
        <v>0</v>
      </c>
      <c r="O73" s="280">
        <f t="shared" ca="1" si="22"/>
        <v>0</v>
      </c>
      <c r="P73" s="280">
        <f t="shared" ca="1" si="22"/>
        <v>0</v>
      </c>
      <c r="Q73" s="280">
        <f t="shared" ca="1" si="22"/>
        <v>0</v>
      </c>
      <c r="R73" s="280">
        <f t="shared" ca="1" si="22"/>
        <v>0</v>
      </c>
      <c r="S73" s="280">
        <f t="shared" ca="1" si="22"/>
        <v>0</v>
      </c>
      <c r="T73" s="280">
        <f t="shared" ca="1" si="22"/>
        <v>0</v>
      </c>
      <c r="U73" s="280">
        <f t="shared" ca="1" si="22"/>
        <v>0</v>
      </c>
      <c r="V73" s="280">
        <f t="shared" ca="1" si="22"/>
        <v>0</v>
      </c>
      <c r="W73" s="280">
        <f t="shared" ca="1" si="22"/>
        <v>0</v>
      </c>
      <c r="X73" s="280">
        <f t="shared" ca="1" si="22"/>
        <v>0</v>
      </c>
      <c r="Y73" s="280">
        <f t="shared" ca="1" si="22"/>
        <v>0</v>
      </c>
      <c r="Z73" s="280">
        <f t="shared" ca="1" si="22"/>
        <v>0</v>
      </c>
      <c r="AA73" s="280">
        <f t="shared" ca="1" si="22"/>
        <v>0</v>
      </c>
      <c r="AB73" s="280">
        <f t="shared" ca="1" si="22"/>
        <v>0</v>
      </c>
      <c r="AC73" s="280">
        <f t="shared" ca="1" si="22"/>
        <v>0</v>
      </c>
      <c r="AD73" s="280">
        <f t="shared" ca="1" si="22"/>
        <v>0</v>
      </c>
      <c r="AE73" s="280">
        <f t="shared" ca="1" si="22"/>
        <v>0</v>
      </c>
      <c r="AF73" s="280">
        <f t="shared" ca="1" si="22"/>
        <v>0</v>
      </c>
      <c r="AG73" s="205" t="str">
        <f t="shared" si="20"/>
        <v>Night shift</v>
      </c>
      <c r="AH73" s="228"/>
      <c r="AI73" s="238">
        <f ca="1">SUM(B73:AF73)</f>
        <v>0</v>
      </c>
      <c r="AJ73" s="229">
        <f ca="1">IF(OR(T.50_Vetsuisse,T.ServiceCenterIrchel),AI69,
IFERROR(SUMPRODUCT((B77:AF77&gt;0)*(B77:AF77&lt;&gt;"")),0))</f>
        <v>0</v>
      </c>
      <c r="AK73" s="224"/>
      <c r="AL73" s="245">
        <f ca="1">IF(EB.Anwendung&lt;&gt;"",IF(MONTH(Monat.Tag1)=1,0,IF(MONTH(Monat.Tag1)=2,January!Monat.NDUeVM,IF(MONTH(Monat.Tag1)=3,February!Monat.NDUeVM,IF(MONTH(Monat.Tag1)=4,March!Monat.NDUeVM,IF(MONTH(Monat.Tag1)=5,April!Monat.NDUeVM,IF(MONTH(Monat.Tag1)=6,May!Monat.NDUeVM,IF(MONTH(Monat.Tag1)=7,June!Monat.NDUeVM,IF(MONTH(Monat.Tag1)=8,July!Monat.NDUeVM,IF(MONTH(Monat.Tag1)=9,August!Monat.NDUeVM,IF(MONTH(Monat.Tag1)=10,September!Monat.NDUeVM,IF(MONTH(Monat.Tag1)=11,October!Monat.NDUeVM,IF(MONTH(Monat.Tag1)=12,November!Monat.NDUeVM,"")))))))))))),"")</f>
        <v>0</v>
      </c>
      <c r="AM73" s="209"/>
      <c r="AN73" s="246">
        <f ca="1">AI73+AL73</f>
        <v>0</v>
      </c>
      <c r="AO73" s="208"/>
      <c r="AP73" s="208"/>
      <c r="AQ73" s="119"/>
    </row>
    <row r="74" spans="1:43" s="38" customFormat="1" ht="3.75" hidden="1" customHeight="1" x14ac:dyDescent="0.2">
      <c r="A74" s="220"/>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213"/>
      <c r="AG74" s="205"/>
      <c r="AH74" s="188"/>
      <c r="AI74" s="213"/>
      <c r="AJ74" s="214"/>
      <c r="AK74" s="209"/>
      <c r="AL74" s="209"/>
      <c r="AM74" s="209"/>
      <c r="AN74" s="208"/>
      <c r="AO74" s="209"/>
      <c r="AP74" s="209"/>
      <c r="AQ74" s="119"/>
    </row>
    <row r="75" spans="1:43" s="38" customFormat="1" ht="16.5" hidden="1" customHeight="1" outlineLevel="1" x14ac:dyDescent="0.2">
      <c r="A75" s="215" t="s">
        <v>252</v>
      </c>
      <c r="B75" s="216">
        <f t="shared" ref="B75:AF75" ca="1" si="23">IF(B73&gt;0,ROUND((B73-
IF(B13&lt;T.Nachtbis,MIN(T.Nachtbis-B13,B14-B13)+IF(B15&lt;T.Nachtbis,MIN(T.Nachtbis-B15,B16-B15)+IF(B17&lt;T.Nachtbis,MIN(T.Nachtbis-B17,B18-B17)+IF(B19&lt;T.Nachtbis,MIN(T.Nachtbis-B19,B20-B19)+IF(B21&lt;T.Nachtbis,MIN(T.Nachtbis-B21,B22-B21),0),0),0),0),0))*1440,0)/1440,0)</f>
        <v>0</v>
      </c>
      <c r="C75" s="216">
        <f t="shared" ca="1" si="23"/>
        <v>0</v>
      </c>
      <c r="D75" s="216">
        <f t="shared" ca="1" si="23"/>
        <v>0</v>
      </c>
      <c r="E75" s="216">
        <f t="shared" ca="1" si="23"/>
        <v>0</v>
      </c>
      <c r="F75" s="216">
        <f t="shared" ca="1" si="23"/>
        <v>0</v>
      </c>
      <c r="G75" s="216">
        <f t="shared" ca="1" si="23"/>
        <v>0</v>
      </c>
      <c r="H75" s="216">
        <f t="shared" ca="1" si="23"/>
        <v>0</v>
      </c>
      <c r="I75" s="216">
        <f t="shared" ca="1" si="23"/>
        <v>0</v>
      </c>
      <c r="J75" s="216">
        <f t="shared" ca="1" si="23"/>
        <v>0</v>
      </c>
      <c r="K75" s="216">
        <f t="shared" ca="1" si="23"/>
        <v>0</v>
      </c>
      <c r="L75" s="216">
        <f t="shared" ca="1" si="23"/>
        <v>0</v>
      </c>
      <c r="M75" s="216">
        <f t="shared" ca="1" si="23"/>
        <v>0</v>
      </c>
      <c r="N75" s="216">
        <f t="shared" ca="1" si="23"/>
        <v>0</v>
      </c>
      <c r="O75" s="216">
        <f t="shared" ca="1" si="23"/>
        <v>0</v>
      </c>
      <c r="P75" s="216">
        <f t="shared" ca="1" si="23"/>
        <v>0</v>
      </c>
      <c r="Q75" s="216">
        <f t="shared" ca="1" si="23"/>
        <v>0</v>
      </c>
      <c r="R75" s="216">
        <f t="shared" ca="1" si="23"/>
        <v>0</v>
      </c>
      <c r="S75" s="216">
        <f t="shared" ca="1" si="23"/>
        <v>0</v>
      </c>
      <c r="T75" s="216">
        <f t="shared" ca="1" si="23"/>
        <v>0</v>
      </c>
      <c r="U75" s="216">
        <f t="shared" ca="1" si="23"/>
        <v>0</v>
      </c>
      <c r="V75" s="216">
        <f t="shared" ca="1" si="23"/>
        <v>0</v>
      </c>
      <c r="W75" s="216">
        <f t="shared" ca="1" si="23"/>
        <v>0</v>
      </c>
      <c r="X75" s="216">
        <f t="shared" ca="1" si="23"/>
        <v>0</v>
      </c>
      <c r="Y75" s="216">
        <f t="shared" ca="1" si="23"/>
        <v>0</v>
      </c>
      <c r="Z75" s="216">
        <f t="shared" ca="1" si="23"/>
        <v>0</v>
      </c>
      <c r="AA75" s="216">
        <f t="shared" ca="1" si="23"/>
        <v>0</v>
      </c>
      <c r="AB75" s="216">
        <f t="shared" ca="1" si="23"/>
        <v>0</v>
      </c>
      <c r="AC75" s="216">
        <f t="shared" ca="1" si="23"/>
        <v>0</v>
      </c>
      <c r="AD75" s="216">
        <f t="shared" ca="1" si="23"/>
        <v>0</v>
      </c>
      <c r="AE75" s="216">
        <f t="shared" ca="1" si="23"/>
        <v>0</v>
      </c>
      <c r="AF75" s="216">
        <f t="shared" ca="1" si="23"/>
        <v>0</v>
      </c>
      <c r="AG75" s="217" t="str">
        <f t="shared" ref="AG75:AG77" si="24">A75</f>
        <v>Total NS hours today</v>
      </c>
      <c r="AH75" s="188"/>
      <c r="AI75" s="213"/>
      <c r="AJ75" s="214"/>
      <c r="AK75" s="209"/>
      <c r="AL75" s="209"/>
      <c r="AM75" s="209"/>
      <c r="AN75" s="208"/>
      <c r="AO75" s="209"/>
      <c r="AP75" s="209"/>
      <c r="AQ75" s="119"/>
    </row>
    <row r="76" spans="1:43" s="38" customFormat="1" ht="16.5" hidden="1" customHeight="1" outlineLevel="1" x14ac:dyDescent="0.2">
      <c r="A76" s="215" t="s">
        <v>253</v>
      </c>
      <c r="B76" s="225">
        <f t="shared" ref="B76:AF76" ca="1" si="25">B73-B75</f>
        <v>0</v>
      </c>
      <c r="C76" s="225">
        <f t="shared" ca="1" si="25"/>
        <v>0</v>
      </c>
      <c r="D76" s="225">
        <f t="shared" ca="1" si="25"/>
        <v>0</v>
      </c>
      <c r="E76" s="225">
        <f t="shared" ca="1" si="25"/>
        <v>0</v>
      </c>
      <c r="F76" s="225">
        <f t="shared" ca="1" si="25"/>
        <v>0</v>
      </c>
      <c r="G76" s="225">
        <f t="shared" ca="1" si="25"/>
        <v>0</v>
      </c>
      <c r="H76" s="225">
        <f t="shared" ca="1" si="25"/>
        <v>0</v>
      </c>
      <c r="I76" s="225">
        <f t="shared" ca="1" si="25"/>
        <v>0</v>
      </c>
      <c r="J76" s="225">
        <f t="shared" ca="1" si="25"/>
        <v>0</v>
      </c>
      <c r="K76" s="225">
        <f t="shared" ca="1" si="25"/>
        <v>0</v>
      </c>
      <c r="L76" s="225">
        <f t="shared" ca="1" si="25"/>
        <v>0</v>
      </c>
      <c r="M76" s="225">
        <f t="shared" ca="1" si="25"/>
        <v>0</v>
      </c>
      <c r="N76" s="225">
        <f t="shared" ca="1" si="25"/>
        <v>0</v>
      </c>
      <c r="O76" s="225">
        <f t="shared" ca="1" si="25"/>
        <v>0</v>
      </c>
      <c r="P76" s="225">
        <f t="shared" ca="1" si="25"/>
        <v>0</v>
      </c>
      <c r="Q76" s="225">
        <f t="shared" ca="1" si="25"/>
        <v>0</v>
      </c>
      <c r="R76" s="225">
        <f t="shared" ca="1" si="25"/>
        <v>0</v>
      </c>
      <c r="S76" s="225">
        <f t="shared" ca="1" si="25"/>
        <v>0</v>
      </c>
      <c r="T76" s="225">
        <f t="shared" ca="1" si="25"/>
        <v>0</v>
      </c>
      <c r="U76" s="225">
        <f t="shared" ca="1" si="25"/>
        <v>0</v>
      </c>
      <c r="V76" s="225">
        <f t="shared" ca="1" si="25"/>
        <v>0</v>
      </c>
      <c r="W76" s="225">
        <f t="shared" ca="1" si="25"/>
        <v>0</v>
      </c>
      <c r="X76" s="225">
        <f t="shared" ca="1" si="25"/>
        <v>0</v>
      </c>
      <c r="Y76" s="225">
        <f t="shared" ca="1" si="25"/>
        <v>0</v>
      </c>
      <c r="Z76" s="225">
        <f t="shared" ca="1" si="25"/>
        <v>0</v>
      </c>
      <c r="AA76" s="225">
        <f t="shared" ca="1" si="25"/>
        <v>0</v>
      </c>
      <c r="AB76" s="225">
        <f t="shared" ca="1" si="25"/>
        <v>0</v>
      </c>
      <c r="AC76" s="225">
        <f t="shared" ca="1" si="25"/>
        <v>0</v>
      </c>
      <c r="AD76" s="225">
        <f t="shared" ca="1" si="25"/>
        <v>0</v>
      </c>
      <c r="AE76" s="225">
        <f t="shared" ca="1" si="25"/>
        <v>0</v>
      </c>
      <c r="AF76" s="225">
        <f t="shared" ca="1" si="25"/>
        <v>0</v>
      </c>
      <c r="AG76" s="217" t="str">
        <f t="shared" si="24"/>
        <v>Total NS hours yesterday</v>
      </c>
      <c r="AH76" s="188"/>
      <c r="AI76" s="213"/>
      <c r="AJ76" s="214"/>
      <c r="AK76" s="209"/>
      <c r="AL76" s="209"/>
      <c r="AM76" s="230">
        <f ca="1">IF(EB.Anwendung&lt;&gt;"",IF(MONTH(Monat.Tag1)=12,0,IF(MONTH(Monat.Tag1)=1,February!Monat.NDgesternTag1,IF(MONTH(Monat.Tag1)=2,March!Monat.NDgesternTag1,IF(MONTH(Monat.Tag1)=3,April!Monat.NDgesternTag1,IF(MONTH(Monat.Tag1)=4,May!Monat.NDgesternTag1,IF(MONTH(Monat.Tag1)=5,June!Monat.NDgesternTag1,IF(MONTH(Monat.Tag1)=6,July!Monat.NDgesternTag1,IF(MONTH(Monat.Tag1)=7,August!Monat.NDgesternTag1,IF(MONTH(Monat.Tag1)=8,September!Monat.NDgesternTag1,IF(MONTH(Monat.Tag1)=9,October!Monat.NDgesternTag1,IF(MONTH(Monat.Tag1)=10,November!Monat.NDgesternTag1,IF(MONTH(Monat.Tag1)=11,December!Monat.NDgesternTag1,"")))))))))))),"")</f>
        <v>0</v>
      </c>
      <c r="AN76" s="208"/>
      <c r="AO76" s="209"/>
      <c r="AP76" s="209"/>
      <c r="AQ76" s="119"/>
    </row>
    <row r="77" spans="1:43" s="38" customFormat="1" ht="16.5" hidden="1" customHeight="1" outlineLevel="1" x14ac:dyDescent="0.2">
      <c r="A77" s="215" t="s">
        <v>254</v>
      </c>
      <c r="B77" s="216">
        <f t="shared" ref="B77:AF77" ca="1" si="26">B75+IF(B$10=EOMONTH(B$10,0),$AM76,C76)</f>
        <v>0</v>
      </c>
      <c r="C77" s="216">
        <f t="shared" ca="1" si="26"/>
        <v>0</v>
      </c>
      <c r="D77" s="216">
        <f t="shared" ca="1" si="26"/>
        <v>0</v>
      </c>
      <c r="E77" s="216">
        <f t="shared" ca="1" si="26"/>
        <v>0</v>
      </c>
      <c r="F77" s="216">
        <f t="shared" ca="1" si="26"/>
        <v>0</v>
      </c>
      <c r="G77" s="216">
        <f t="shared" ca="1" si="26"/>
        <v>0</v>
      </c>
      <c r="H77" s="216">
        <f t="shared" ca="1" si="26"/>
        <v>0</v>
      </c>
      <c r="I77" s="216">
        <f t="shared" ca="1" si="26"/>
        <v>0</v>
      </c>
      <c r="J77" s="216">
        <f t="shared" ca="1" si="26"/>
        <v>0</v>
      </c>
      <c r="K77" s="216">
        <f t="shared" ca="1" si="26"/>
        <v>0</v>
      </c>
      <c r="L77" s="216">
        <f t="shared" ca="1" si="26"/>
        <v>0</v>
      </c>
      <c r="M77" s="216">
        <f t="shared" ca="1" si="26"/>
        <v>0</v>
      </c>
      <c r="N77" s="216">
        <f t="shared" ca="1" si="26"/>
        <v>0</v>
      </c>
      <c r="O77" s="216">
        <f t="shared" ca="1" si="26"/>
        <v>0</v>
      </c>
      <c r="P77" s="216">
        <f t="shared" ca="1" si="26"/>
        <v>0</v>
      </c>
      <c r="Q77" s="216">
        <f t="shared" ca="1" si="26"/>
        <v>0</v>
      </c>
      <c r="R77" s="216">
        <f t="shared" ca="1" si="26"/>
        <v>0</v>
      </c>
      <c r="S77" s="216">
        <f t="shared" ca="1" si="26"/>
        <v>0</v>
      </c>
      <c r="T77" s="216">
        <f t="shared" ca="1" si="26"/>
        <v>0</v>
      </c>
      <c r="U77" s="216">
        <f t="shared" ca="1" si="26"/>
        <v>0</v>
      </c>
      <c r="V77" s="216">
        <f t="shared" ca="1" si="26"/>
        <v>0</v>
      </c>
      <c r="W77" s="216">
        <f t="shared" ca="1" si="26"/>
        <v>0</v>
      </c>
      <c r="X77" s="216">
        <f t="shared" ca="1" si="26"/>
        <v>0</v>
      </c>
      <c r="Y77" s="216">
        <f t="shared" ca="1" si="26"/>
        <v>0</v>
      </c>
      <c r="Z77" s="216">
        <f t="shared" ca="1" si="26"/>
        <v>0</v>
      </c>
      <c r="AA77" s="216">
        <f t="shared" ca="1" si="26"/>
        <v>0</v>
      </c>
      <c r="AB77" s="216">
        <f t="shared" ca="1" si="26"/>
        <v>0</v>
      </c>
      <c r="AC77" s="216">
        <f t="shared" ca="1" si="26"/>
        <v>0</v>
      </c>
      <c r="AD77" s="216">
        <f t="shared" ca="1" si="26"/>
        <v>0</v>
      </c>
      <c r="AE77" s="216">
        <f t="shared" ca="1" si="26"/>
        <v>0</v>
      </c>
      <c r="AF77" s="216">
        <f t="shared" ca="1" si="26"/>
        <v>0</v>
      </c>
      <c r="AG77" s="217" t="str">
        <f t="shared" si="24"/>
        <v>Total NS hours</v>
      </c>
      <c r="AH77" s="218"/>
      <c r="AI77" s="219">
        <f ca="1">SUM(B77:AF77)</f>
        <v>0</v>
      </c>
      <c r="AJ77" s="214"/>
      <c r="AK77" s="209"/>
      <c r="AL77" s="209"/>
      <c r="AM77" s="209"/>
      <c r="AN77" s="208"/>
      <c r="AO77" s="209"/>
      <c r="AP77" s="209"/>
      <c r="AQ77" s="119"/>
    </row>
    <row r="78" spans="1:43" s="38" customFormat="1" ht="3.75" hidden="1" customHeight="1" collapsed="1" x14ac:dyDescent="0.2">
      <c r="A78" s="220"/>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2"/>
      <c r="AG78" s="205"/>
      <c r="AH78" s="233"/>
      <c r="AI78" s="222"/>
      <c r="AJ78" s="214"/>
      <c r="AK78" s="209"/>
      <c r="AL78" s="209"/>
      <c r="AM78" s="209"/>
      <c r="AN78" s="208"/>
      <c r="AO78" s="209"/>
      <c r="AP78" s="209"/>
      <c r="AQ78" s="119"/>
    </row>
    <row r="79" spans="1:43" s="38" customFormat="1" ht="15" customHeight="1" outlineLevel="1" x14ac:dyDescent="0.2">
      <c r="A79" s="212" t="s">
        <v>200</v>
      </c>
      <c r="B79" s="280">
        <f t="shared" ref="B79:AF79" ca="1" si="27">IF(AND(T.50_Vetsuisse,B70&gt;24),ROUND(B73*T.50_VetsuisseZZSND*1440,0)/1440,
IF(AND(T.ServiceCenterIrchel,B69&gt;0,B77&gt;=ROUND(1/24*8*1440,0)/1440),ROUND(B77*T.ServiceCenterIrchelZZSND*1440,0)/1440,))</f>
        <v>0</v>
      </c>
      <c r="C79" s="280">
        <f t="shared" ca="1" si="27"/>
        <v>0</v>
      </c>
      <c r="D79" s="280">
        <f t="shared" ca="1" si="27"/>
        <v>0</v>
      </c>
      <c r="E79" s="280">
        <f t="shared" ca="1" si="27"/>
        <v>0</v>
      </c>
      <c r="F79" s="280">
        <f t="shared" ca="1" si="27"/>
        <v>0</v>
      </c>
      <c r="G79" s="280">
        <f t="shared" ca="1" si="27"/>
        <v>0</v>
      </c>
      <c r="H79" s="280">
        <f t="shared" ca="1" si="27"/>
        <v>0</v>
      </c>
      <c r="I79" s="280">
        <f t="shared" ca="1" si="27"/>
        <v>0</v>
      </c>
      <c r="J79" s="280">
        <f t="shared" ca="1" si="27"/>
        <v>0</v>
      </c>
      <c r="K79" s="280">
        <f t="shared" ca="1" si="27"/>
        <v>0</v>
      </c>
      <c r="L79" s="280">
        <f t="shared" ca="1" si="27"/>
        <v>0</v>
      </c>
      <c r="M79" s="280">
        <f t="shared" ca="1" si="27"/>
        <v>0</v>
      </c>
      <c r="N79" s="280">
        <f t="shared" ca="1" si="27"/>
        <v>0</v>
      </c>
      <c r="O79" s="280">
        <f t="shared" ca="1" si="27"/>
        <v>0</v>
      </c>
      <c r="P79" s="280">
        <f t="shared" ca="1" si="27"/>
        <v>0</v>
      </c>
      <c r="Q79" s="280">
        <f t="shared" ca="1" si="27"/>
        <v>0</v>
      </c>
      <c r="R79" s="280">
        <f t="shared" ca="1" si="27"/>
        <v>0</v>
      </c>
      <c r="S79" s="280">
        <f t="shared" ca="1" si="27"/>
        <v>0</v>
      </c>
      <c r="T79" s="280">
        <f t="shared" ca="1" si="27"/>
        <v>0</v>
      </c>
      <c r="U79" s="280">
        <f t="shared" ca="1" si="27"/>
        <v>0</v>
      </c>
      <c r="V79" s="280">
        <f t="shared" ca="1" si="27"/>
        <v>0</v>
      </c>
      <c r="W79" s="280">
        <f t="shared" ca="1" si="27"/>
        <v>0</v>
      </c>
      <c r="X79" s="280">
        <f t="shared" ca="1" si="27"/>
        <v>0</v>
      </c>
      <c r="Y79" s="280">
        <f t="shared" ca="1" si="27"/>
        <v>0</v>
      </c>
      <c r="Z79" s="280">
        <f t="shared" ca="1" si="27"/>
        <v>0</v>
      </c>
      <c r="AA79" s="280">
        <f t="shared" ca="1" si="27"/>
        <v>0</v>
      </c>
      <c r="AB79" s="280">
        <f t="shared" ca="1" si="27"/>
        <v>0</v>
      </c>
      <c r="AC79" s="280">
        <f t="shared" ca="1" si="27"/>
        <v>0</v>
      </c>
      <c r="AD79" s="280">
        <f t="shared" ca="1" si="27"/>
        <v>0</v>
      </c>
      <c r="AE79" s="280">
        <f t="shared" ca="1" si="27"/>
        <v>0</v>
      </c>
      <c r="AF79" s="280">
        <f t="shared" ca="1" si="27"/>
        <v>0</v>
      </c>
      <c r="AG79" s="205" t="str">
        <f t="shared" si="20"/>
        <v>Time supplement night shift</v>
      </c>
      <c r="AH79" s="274"/>
      <c r="AI79" s="238">
        <f t="shared" ref="AI79:AI80" ca="1" si="28">SUM(B79:AF79)</f>
        <v>0</v>
      </c>
      <c r="AJ79" s="261"/>
      <c r="AK79" s="224"/>
      <c r="AL79" s="245">
        <f ca="1">IF(EB.Anwendung&lt;&gt;"",IF(MONTH(Monat.Tag1)=1,EB.ZZNd,IF(MONTH(Monat.Tag1)=2,January!Monat.ZZNdUe,IF(MONTH(Monat.Tag1)=3,February!Monat.ZZNdUe,IF(MONTH(Monat.Tag1)=4,March!Monat.ZZNdUe,IF(MONTH(Monat.Tag1)=5,April!Monat.ZZNdUe,IF(MONTH(Monat.Tag1)=6,May!Monat.ZZNdUe,IF(MONTH(Monat.Tag1)=7,June!Monat.ZZNdUe,IF(MONTH(Monat.Tag1)=8,July!Monat.ZZNdUe,IF(MONTH(Monat.Tag1)=9,August!Monat.ZZNdUe,IF(MONTH(Monat.Tag1)=10,September!Monat.ZZNdUe,IF(MONTH(Monat.Tag1)=11,October!Monat.ZZNdUe,IF(MONTH(Monat.Tag1)=12,November!Monat.ZZNdUe,"")))))))))))),"")</f>
        <v>0</v>
      </c>
      <c r="AM79" s="209"/>
      <c r="AN79" s="246">
        <f ca="1">AI79+AL79-AI71</f>
        <v>0</v>
      </c>
      <c r="AO79" s="246">
        <f ca="1">OFFSET(Jahr.ZZSNDSaldo,-13+MONTH(Monat.Tag1),0,1,1)</f>
        <v>0</v>
      </c>
      <c r="AP79" s="246">
        <f ca="1">Jahr.ZZSNDSaldo</f>
        <v>0</v>
      </c>
      <c r="AQ79" s="119"/>
    </row>
    <row r="80" spans="1:43" s="38" customFormat="1" ht="15" customHeight="1" outlineLevel="1" x14ac:dyDescent="0.2">
      <c r="A80" s="212" t="s">
        <v>224</v>
      </c>
      <c r="B80" s="280" t="str">
        <f t="shared" ref="B80:AF80" si="29">IF(T.50_Vetsuisse,IF(OR(B$12=0,B$11=0,WEEKDAY(B$10,2)&gt;5),0,ROUND((MAX(0,T.Abendbis-MAX(B13,T.Abendab))-MAX(0,T.Abendbis-MAX(T.Abendab,B14))+(B13&gt;B14)*(1+T.Abendab-T.Abendbis)+MAX(0,T.Abendbis-MAX(B15,T.Abendab))-MAX(0,T.Abendbis-MAX(T.Abendab,B16))+(B15&gt;B16)*(1+T.Abendab-T.Abendbis)+MAX(0,T.Abendbis-MAX(B17,T.Abendab))-MAX(0,T.Abendbis-MAX(T.Abendab,B18))+(B17&gt;B18)*(1+T.Abendab-T.Abendbis)+MAX(0,T.Abendbis-MAX(B19,T.Abendab))-MAX(0,T.Abendbis-MAX(T.Abendab,B20))+(B19&gt;B20)*(1+T.Abendab-T.Abendbis)+MAX(0,T.Abendbis-MAX(B21,T.Abendab))-MAX(0,T.Abendbis-MAX(T.Abendab,B22))+(B21&gt;B22)*(1+T.Abendab-T.Abendbis))*1440,0)/1440),"")</f>
        <v/>
      </c>
      <c r="C80" s="280" t="str">
        <f t="shared" si="29"/>
        <v/>
      </c>
      <c r="D80" s="280" t="str">
        <f t="shared" si="29"/>
        <v/>
      </c>
      <c r="E80" s="280" t="str">
        <f t="shared" si="29"/>
        <v/>
      </c>
      <c r="F80" s="280" t="str">
        <f t="shared" si="29"/>
        <v/>
      </c>
      <c r="G80" s="280" t="str">
        <f t="shared" si="29"/>
        <v/>
      </c>
      <c r="H80" s="280" t="str">
        <f t="shared" si="29"/>
        <v/>
      </c>
      <c r="I80" s="280" t="str">
        <f t="shared" si="29"/>
        <v/>
      </c>
      <c r="J80" s="280" t="str">
        <f t="shared" si="29"/>
        <v/>
      </c>
      <c r="K80" s="280" t="str">
        <f t="shared" si="29"/>
        <v/>
      </c>
      <c r="L80" s="280" t="str">
        <f t="shared" si="29"/>
        <v/>
      </c>
      <c r="M80" s="280" t="str">
        <f t="shared" si="29"/>
        <v/>
      </c>
      <c r="N80" s="280" t="str">
        <f t="shared" si="29"/>
        <v/>
      </c>
      <c r="O80" s="280" t="str">
        <f t="shared" si="29"/>
        <v/>
      </c>
      <c r="P80" s="280" t="str">
        <f t="shared" si="29"/>
        <v/>
      </c>
      <c r="Q80" s="280" t="str">
        <f t="shared" si="29"/>
        <v/>
      </c>
      <c r="R80" s="280" t="str">
        <f t="shared" si="29"/>
        <v/>
      </c>
      <c r="S80" s="280" t="str">
        <f t="shared" si="29"/>
        <v/>
      </c>
      <c r="T80" s="280" t="str">
        <f t="shared" si="29"/>
        <v/>
      </c>
      <c r="U80" s="280" t="str">
        <f t="shared" si="29"/>
        <v/>
      </c>
      <c r="V80" s="280" t="str">
        <f t="shared" si="29"/>
        <v/>
      </c>
      <c r="W80" s="280" t="str">
        <f t="shared" si="29"/>
        <v/>
      </c>
      <c r="X80" s="280" t="str">
        <f t="shared" si="29"/>
        <v/>
      </c>
      <c r="Y80" s="280" t="str">
        <f t="shared" si="29"/>
        <v/>
      </c>
      <c r="Z80" s="280" t="str">
        <f t="shared" si="29"/>
        <v/>
      </c>
      <c r="AA80" s="280" t="str">
        <f t="shared" si="29"/>
        <v/>
      </c>
      <c r="AB80" s="280" t="str">
        <f t="shared" si="29"/>
        <v/>
      </c>
      <c r="AC80" s="280" t="str">
        <f t="shared" si="29"/>
        <v/>
      </c>
      <c r="AD80" s="280" t="str">
        <f t="shared" si="29"/>
        <v/>
      </c>
      <c r="AE80" s="280" t="str">
        <f t="shared" si="29"/>
        <v/>
      </c>
      <c r="AF80" s="280" t="str">
        <f t="shared" si="29"/>
        <v/>
      </c>
      <c r="AG80" s="205" t="str">
        <f t="shared" si="20"/>
        <v>Evening work</v>
      </c>
      <c r="AH80" s="274"/>
      <c r="AI80" s="238">
        <f t="shared" si="28"/>
        <v>0</v>
      </c>
      <c r="AJ80" s="261"/>
      <c r="AK80" s="224"/>
      <c r="AL80" s="245">
        <f ca="1">IF(EB.Anwendung&lt;&gt;"",IF(MONTH(Monat.Tag1)=1,0,IF(MONTH(Monat.Tag1)=2,January!Monat.AAUeVM,IF(MONTH(Monat.Tag1)=3,February!Monat.AAUeVM,IF(MONTH(Monat.Tag1)=4,March!Monat.AAUeVM,IF(MONTH(Monat.Tag1)=5,April!Monat.AAUeVM,IF(MONTH(Monat.Tag1)=6,May!Monat.AAUeVM,IF(MONTH(Monat.Tag1)=7,June!Monat.AAUeVM,IF(MONTH(Monat.Tag1)=8,July!Monat.AAUeVM,IF(MONTH(Monat.Tag1)=9,August!Monat.AAUeVM,IF(MONTH(Monat.Tag1)=10,September!Monat.AAUeVM,IF(MONTH(Monat.Tag1)=11,October!Monat.AAUeVM,IF(MONTH(Monat.Tag1)=12,November!Monat.AAUeVM,"")))))))))))),"")</f>
        <v>0</v>
      </c>
      <c r="AM80" s="209"/>
      <c r="AN80" s="246">
        <f ca="1">AI80+AL80</f>
        <v>0</v>
      </c>
      <c r="AO80" s="208"/>
      <c r="AP80" s="208"/>
      <c r="AQ80" s="119"/>
    </row>
    <row r="81" spans="1:43" s="38" customFormat="1" ht="15" customHeight="1" outlineLevel="1" x14ac:dyDescent="0.2">
      <c r="A81" s="212" t="s">
        <v>89</v>
      </c>
      <c r="B81" s="280">
        <f t="shared" ref="B81:AF81" ca="1" si="30">IF(EB.Wochenarbeitszeit=50/24,"",IF(B$12=0,0,IF(OR(WEEKDAY(B$10,2)&gt;5,B$11=0),IF(NOT(B$34=INDEX(T.Pikett.Bereich,1)),1,0),IF(WEEKDAY(B$10,2)&lt;6,IF(AND(OR(B$34=INDEX(T.Pikett.Bereich,2),B$34=INDEX(T.Pikett.Bereich,3)),B$11=1),8/24,0))+IF(WEEKDAY(B$10,2)&lt;6,IF(AND(OR(B$34=INDEX(T.Pikett.Bereich,2),B$34=INDEX(T.Pikett.Bereich,3)),B$11=6/8.4),10/24,0))
+IF(WEEKDAY(B$10,2)&lt;6,IF(AND(OR(B$34=INDEX(T.Pikett.Bereich,2),B$34=INDEX(T.Pikett.Bereich,3)),B$11=0.5),0.5,0))
+IF(AND(B$34=INDEX(T.Pikett.Bereich,4),B$11=6/8.4),0.75,0)+IF(AND(B$34=INDEX(T.Pikett.Bereich,4),B$11=1),16/24,0)
+IF(AND(B$34=INDEX(T.Pikett.Bereich,4),B$11=0.5),20/24,0))))</f>
        <v>0</v>
      </c>
      <c r="C81" s="280">
        <f t="shared" ca="1" si="30"/>
        <v>0</v>
      </c>
      <c r="D81" s="280">
        <f t="shared" ca="1" si="30"/>
        <v>0</v>
      </c>
      <c r="E81" s="280">
        <f t="shared" ca="1" si="30"/>
        <v>0</v>
      </c>
      <c r="F81" s="280">
        <f t="shared" ca="1" si="30"/>
        <v>0</v>
      </c>
      <c r="G81" s="280">
        <f t="shared" ca="1" si="30"/>
        <v>0</v>
      </c>
      <c r="H81" s="280">
        <f t="shared" ca="1" si="30"/>
        <v>0</v>
      </c>
      <c r="I81" s="280">
        <f t="shared" ca="1" si="30"/>
        <v>0</v>
      </c>
      <c r="J81" s="280">
        <f t="shared" ca="1" si="30"/>
        <v>0</v>
      </c>
      <c r="K81" s="280">
        <f t="shared" ca="1" si="30"/>
        <v>0</v>
      </c>
      <c r="L81" s="280">
        <f t="shared" ca="1" si="30"/>
        <v>0</v>
      </c>
      <c r="M81" s="280">
        <f t="shared" ca="1" si="30"/>
        <v>0</v>
      </c>
      <c r="N81" s="280">
        <f t="shared" ca="1" si="30"/>
        <v>0</v>
      </c>
      <c r="O81" s="280">
        <f t="shared" ca="1" si="30"/>
        <v>0</v>
      </c>
      <c r="P81" s="280">
        <f t="shared" ca="1" si="30"/>
        <v>0</v>
      </c>
      <c r="Q81" s="280">
        <f t="shared" ca="1" si="30"/>
        <v>0</v>
      </c>
      <c r="R81" s="280">
        <f t="shared" ca="1" si="30"/>
        <v>0</v>
      </c>
      <c r="S81" s="280">
        <f t="shared" ca="1" si="30"/>
        <v>0</v>
      </c>
      <c r="T81" s="280">
        <f t="shared" ca="1" si="30"/>
        <v>0</v>
      </c>
      <c r="U81" s="280">
        <f t="shared" ca="1" si="30"/>
        <v>0</v>
      </c>
      <c r="V81" s="280">
        <f t="shared" ca="1" si="30"/>
        <v>0</v>
      </c>
      <c r="W81" s="280">
        <f t="shared" ca="1" si="30"/>
        <v>0</v>
      </c>
      <c r="X81" s="280">
        <f t="shared" ca="1" si="30"/>
        <v>0</v>
      </c>
      <c r="Y81" s="280">
        <f t="shared" ca="1" si="30"/>
        <v>0</v>
      </c>
      <c r="Z81" s="280">
        <f t="shared" ca="1" si="30"/>
        <v>0</v>
      </c>
      <c r="AA81" s="280">
        <f t="shared" ca="1" si="30"/>
        <v>0</v>
      </c>
      <c r="AB81" s="280">
        <f t="shared" ca="1" si="30"/>
        <v>0</v>
      </c>
      <c r="AC81" s="280">
        <f t="shared" ca="1" si="30"/>
        <v>0</v>
      </c>
      <c r="AD81" s="280">
        <f t="shared" ca="1" si="30"/>
        <v>0</v>
      </c>
      <c r="AE81" s="280">
        <f t="shared" ca="1" si="30"/>
        <v>0</v>
      </c>
      <c r="AF81" s="280">
        <f t="shared" ca="1" si="30"/>
        <v>0</v>
      </c>
      <c r="AG81" s="205" t="str">
        <f t="shared" si="20"/>
        <v>On-call duty</v>
      </c>
      <c r="AH81" s="274"/>
      <c r="AI81" s="238">
        <f ca="1">SUM(B81:AF81)</f>
        <v>0</v>
      </c>
      <c r="AJ81" s="261"/>
      <c r="AK81" s="224"/>
      <c r="AL81" s="245">
        <f ca="1">IF(EB.Anwendung&lt;&gt;"",IF(MONTH(Monat.Tag1)=1,0,IF(MONTH(Monat.Tag1)=2,January!Monat.BDUeVM,IF(MONTH(Monat.Tag1)=3,February!Monat.BDUeVM,IF(MONTH(Monat.Tag1)=4,March!Monat.BDUeVM,IF(MONTH(Monat.Tag1)=5,April!Monat.BDUeVM,IF(MONTH(Monat.Tag1)=6,May!Monat.BDUeVM,IF(MONTH(Monat.Tag1)=7,June!Monat.BDUeVM,IF(MONTH(Monat.Tag1)=8,July!Monat.BDUeVM,IF(MONTH(Monat.Tag1)=9,August!Monat.BDUeVM,IF(MONTH(Monat.Tag1)=10,September!Monat.BDUeVM,IF(MONTH(Monat.Tag1)=11,October!Monat.BDUeVM,IF(MONTH(Monat.Tag1)=12,November!Monat.BDUeVM,"")))))))))))),"")</f>
        <v>0</v>
      </c>
      <c r="AM81" s="209"/>
      <c r="AN81" s="246">
        <f ca="1">AI81+AL81</f>
        <v>0</v>
      </c>
      <c r="AO81" s="208"/>
      <c r="AP81" s="208"/>
      <c r="AQ81" s="119"/>
    </row>
    <row r="82" spans="1:43" s="38" customFormat="1" ht="15" customHeight="1" outlineLevel="1" x14ac:dyDescent="0.2">
      <c r="A82" s="212" t="s">
        <v>90</v>
      </c>
      <c r="B82" s="280" t="str">
        <f t="shared" ref="B82:AF82" ca="1" si="31">IF(B$12=0,"",IF(OR(WEEKDAY(B$10,2)&gt;5,B$11=0),
IF(T.50_NoVetsuisse,B45,
IF(T.50_Vetsuisse,IF(B23-B73=0,"",B23-B73),
IF(T.ServiceCenterIrchel,B23,
B60))),))</f>
        <v/>
      </c>
      <c r="C82" s="280" t="str">
        <f t="shared" ca="1" si="31"/>
        <v/>
      </c>
      <c r="D82" s="281" t="str">
        <f t="shared" ca="1" si="31"/>
        <v/>
      </c>
      <c r="E82" s="280">
        <f t="shared" ca="1" si="31"/>
        <v>0</v>
      </c>
      <c r="F82" s="281">
        <f t="shared" ca="1" si="31"/>
        <v>0</v>
      </c>
      <c r="G82" s="281">
        <f t="shared" ca="1" si="31"/>
        <v>0</v>
      </c>
      <c r="H82" s="281">
        <f t="shared" ca="1" si="31"/>
        <v>0</v>
      </c>
      <c r="I82" s="281">
        <f t="shared" ca="1" si="31"/>
        <v>0</v>
      </c>
      <c r="J82" s="280" t="str">
        <f t="shared" ca="1" si="31"/>
        <v/>
      </c>
      <c r="K82" s="281" t="str">
        <f t="shared" ca="1" si="31"/>
        <v/>
      </c>
      <c r="L82" s="280">
        <f t="shared" ca="1" si="31"/>
        <v>0</v>
      </c>
      <c r="M82" s="281">
        <f t="shared" ca="1" si="31"/>
        <v>0</v>
      </c>
      <c r="N82" s="281">
        <f t="shared" ca="1" si="31"/>
        <v>0</v>
      </c>
      <c r="O82" s="281">
        <f t="shared" ca="1" si="31"/>
        <v>0</v>
      </c>
      <c r="P82" s="281">
        <f t="shared" ca="1" si="31"/>
        <v>0</v>
      </c>
      <c r="Q82" s="280" t="str">
        <f t="shared" ca="1" si="31"/>
        <v/>
      </c>
      <c r="R82" s="281" t="str">
        <f t="shared" ca="1" si="31"/>
        <v/>
      </c>
      <c r="S82" s="280">
        <f t="shared" ca="1" si="31"/>
        <v>0</v>
      </c>
      <c r="T82" s="280">
        <f t="shared" ca="1" si="31"/>
        <v>0</v>
      </c>
      <c r="U82" s="281">
        <f t="shared" ca="1" si="31"/>
        <v>0</v>
      </c>
      <c r="V82" s="281" t="str">
        <f t="shared" ca="1" si="31"/>
        <v/>
      </c>
      <c r="W82" s="281">
        <f t="shared" ca="1" si="31"/>
        <v>0</v>
      </c>
      <c r="X82" s="280" t="str">
        <f t="shared" ca="1" si="31"/>
        <v/>
      </c>
      <c r="Y82" s="281" t="str">
        <f t="shared" ca="1" si="31"/>
        <v/>
      </c>
      <c r="Z82" s="282">
        <f t="shared" ca="1" si="31"/>
        <v>0</v>
      </c>
      <c r="AA82" s="281">
        <f t="shared" ca="1" si="31"/>
        <v>0</v>
      </c>
      <c r="AB82" s="281">
        <f t="shared" ca="1" si="31"/>
        <v>0</v>
      </c>
      <c r="AC82" s="281">
        <f t="shared" ca="1" si="31"/>
        <v>0</v>
      </c>
      <c r="AD82" s="281">
        <f t="shared" ca="1" si="31"/>
        <v>0</v>
      </c>
      <c r="AE82" s="280" t="str">
        <f t="shared" ca="1" si="31"/>
        <v/>
      </c>
      <c r="AF82" s="281" t="str">
        <f t="shared" ca="1" si="31"/>
        <v/>
      </c>
      <c r="AG82" s="205" t="str">
        <f t="shared" si="20"/>
        <v>Saturday/Sunday shift</v>
      </c>
      <c r="AH82" s="228"/>
      <c r="AI82" s="238">
        <f ca="1">SUM(B82:AF82)</f>
        <v>0</v>
      </c>
      <c r="AJ82" s="229">
        <f ca="1">IFERROR(SUMPRODUCT((B82:AF82&gt;0)*(B82:AF82&lt;&gt;"")),0)</f>
        <v>0</v>
      </c>
      <c r="AK82" s="224"/>
      <c r="AL82" s="245">
        <f ca="1">IF(EB.Anwendung&lt;&gt;"",IF(MONTH(Monat.Tag1)=1,0,IF(MONTH(Monat.Tag1)=2,January!Monat.SDUeVM,IF(MONTH(Monat.Tag1)=3,February!Monat.SDUeVM,IF(MONTH(Monat.Tag1)=4,March!Monat.SDUeVM,IF(MONTH(Monat.Tag1)=5,April!Monat.SDUeVM,IF(MONTH(Monat.Tag1)=6,May!Monat.SDUeVM,IF(MONTH(Monat.Tag1)=7,June!Monat.SDUeVM,IF(MONTH(Monat.Tag1)=8,July!Monat.SDUeVM,IF(MONTH(Monat.Tag1)=9,August!Monat.SDUeVM,IF(MONTH(Monat.Tag1)=10,September!Monat.SDUeVM,IF(MONTH(Monat.Tag1)=11,October!Monat.SDUeVM,IF(MONTH(Monat.Tag1)=12,November!Monat.SDUeVM,"")))))))))))),"")</f>
        <v>0</v>
      </c>
      <c r="AM82" s="209"/>
      <c r="AN82" s="246">
        <f ca="1">AI82+AL82</f>
        <v>0</v>
      </c>
      <c r="AO82" s="208"/>
      <c r="AP82" s="208"/>
      <c r="AQ82" s="119"/>
    </row>
    <row r="83" spans="1:43" s="38" customFormat="1" ht="11.25" customHeight="1" outlineLevel="1" x14ac:dyDescent="0.2">
      <c r="A83" s="220"/>
      <c r="B83" s="226"/>
      <c r="C83" s="226"/>
      <c r="D83" s="226"/>
      <c r="E83" s="226"/>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7"/>
      <c r="AG83" s="205"/>
      <c r="AH83" s="228"/>
      <c r="AI83" s="224"/>
      <c r="AJ83" s="278"/>
      <c r="AK83" s="262"/>
      <c r="AL83" s="262"/>
      <c r="AM83" s="209"/>
      <c r="AN83" s="279"/>
      <c r="AO83" s="283"/>
      <c r="AP83" s="283"/>
      <c r="AQ83" s="119"/>
    </row>
    <row r="84" spans="1:43" s="38" customFormat="1" ht="15" customHeight="1" x14ac:dyDescent="0.2">
      <c r="A84" s="212" t="s">
        <v>80</v>
      </c>
      <c r="B84" s="40"/>
      <c r="C84" s="40"/>
      <c r="D84" s="40"/>
      <c r="E84" s="40"/>
      <c r="F84" s="40"/>
      <c r="G84" s="40"/>
      <c r="H84" s="40"/>
      <c r="I84" s="40"/>
      <c r="J84" s="40"/>
      <c r="K84" s="40"/>
      <c r="L84" s="40"/>
      <c r="M84" s="40"/>
      <c r="N84" s="40"/>
      <c r="O84" s="40"/>
      <c r="P84" s="40"/>
      <c r="Q84" s="40"/>
      <c r="R84" s="40"/>
      <c r="S84" s="40"/>
      <c r="T84" s="40"/>
      <c r="U84" s="40"/>
      <c r="V84" s="40"/>
      <c r="W84" s="40"/>
      <c r="X84" s="40"/>
      <c r="Y84" s="40"/>
      <c r="Z84" s="47"/>
      <c r="AA84" s="40"/>
      <c r="AB84" s="40"/>
      <c r="AC84" s="40"/>
      <c r="AD84" s="40"/>
      <c r="AE84" s="40"/>
      <c r="AF84" s="40"/>
      <c r="AG84" s="205" t="str">
        <f>A84 &amp; IFERROR(IF(AND(MONTH(Monat.Tag1)=6,EB.Jahr&gt;2020),IF(SUM(Jahresabrechnung!AC15:AC20)&lt;EB.FerienBer,IF(EB.Sprache="EN"," (Balance PY "," (Saldo VJ ") &amp; " &gt; 0!)",""),""),"")</f>
        <v>Vacation</v>
      </c>
      <c r="AH84" s="218"/>
      <c r="AI84" s="238">
        <f t="shared" ref="AI84:AI95" si="32">SUM(B84:AF84)</f>
        <v>0</v>
      </c>
      <c r="AJ84" s="261"/>
      <c r="AK84" s="245">
        <f ca="1">OFFSET(EB.MFAStd.Knoten,MONTH(Monat.Tag1),0,1,1)</f>
        <v>0</v>
      </c>
      <c r="AL84" s="245">
        <f ca="1">IF(EB.Anwendung&lt;&gt;"",IF(MONTH(Monat.Tag1)=1,EB.FerienBer,IF(MONTH(Monat.Tag1)=2,January!Monat.FerienUeVM,IF(MONTH(Monat.Tag1)=3,February!Monat.FerienUeVM,IF(MONTH(Monat.Tag1)=4,March!Monat.FerienUeVM,IF(MONTH(Monat.Tag1)=5,April!Monat.FerienUeVM,IF(MONTH(Monat.Tag1)=6,May!Monat.FerienUeVM,IF(MONTH(Monat.Tag1)=7,June!Monat.FerienUeVM,IF(MONTH(Monat.Tag1)=8,July!Monat.FerienUeVM,IF(MONTH(Monat.Tag1)=9,August!Monat.FerienUeVM,IF(MONTH(Monat.Tag1)=10,September!Monat.FerienUeVM,IF(MONTH(Monat.Tag1)=11,October!Monat.FerienUeVM,IF(MONTH(Monat.Tag1)=12,November!Monat.FerienUeVM,"")))))))))))),"")</f>
        <v>0</v>
      </c>
      <c r="AM84" s="209"/>
      <c r="AN84" s="246">
        <f ca="1">ROUND(IF(AH85="+",(AK84+AL84-Monat.Ferien.Total+AI85),(AK84+AL84-Monat.Ferien.Total-AI85))*1440,0)/1440</f>
        <v>0</v>
      </c>
      <c r="AO84" s="246">
        <f ca="1">SUM(Jahresabrechnung!AC12:AC13)-SUM(OFFSET(Jahresabrechnung!AC15,0,0,MONTH(Monat.Tag1),1))</f>
        <v>0</v>
      </c>
      <c r="AP84" s="246">
        <f ca="1">J.FerienUE.Total</f>
        <v>0</v>
      </c>
      <c r="AQ84" s="119"/>
    </row>
    <row r="85" spans="1:43" s="38" customFormat="1" ht="15" customHeight="1" x14ac:dyDescent="0.2">
      <c r="A85" s="220"/>
      <c r="B85" s="437">
        <f t="shared" ref="B85:AF85" ca="1" si="33">IF(DAY(B$10)=1,Monat.Ferien.JS+Monat.Ferien.Total-B84,A85-B84)</f>
        <v>0</v>
      </c>
      <c r="C85" s="437">
        <f t="shared" ca="1" si="33"/>
        <v>0</v>
      </c>
      <c r="D85" s="437">
        <f t="shared" ca="1" si="33"/>
        <v>0</v>
      </c>
      <c r="E85" s="437">
        <f t="shared" ca="1" si="33"/>
        <v>0</v>
      </c>
      <c r="F85" s="437">
        <f t="shared" ca="1" si="33"/>
        <v>0</v>
      </c>
      <c r="G85" s="437">
        <f t="shared" ca="1" si="33"/>
        <v>0</v>
      </c>
      <c r="H85" s="437">
        <f t="shared" ca="1" si="33"/>
        <v>0</v>
      </c>
      <c r="I85" s="437">
        <f t="shared" ca="1" si="33"/>
        <v>0</v>
      </c>
      <c r="J85" s="437">
        <f t="shared" ca="1" si="33"/>
        <v>0</v>
      </c>
      <c r="K85" s="437">
        <f t="shared" ca="1" si="33"/>
        <v>0</v>
      </c>
      <c r="L85" s="437">
        <f t="shared" ca="1" si="33"/>
        <v>0</v>
      </c>
      <c r="M85" s="437">
        <f t="shared" ca="1" si="33"/>
        <v>0</v>
      </c>
      <c r="N85" s="437">
        <f t="shared" ca="1" si="33"/>
        <v>0</v>
      </c>
      <c r="O85" s="437">
        <f t="shared" ca="1" si="33"/>
        <v>0</v>
      </c>
      <c r="P85" s="437">
        <f t="shared" ca="1" si="33"/>
        <v>0</v>
      </c>
      <c r="Q85" s="437">
        <f t="shared" ca="1" si="33"/>
        <v>0</v>
      </c>
      <c r="R85" s="437">
        <f t="shared" ca="1" si="33"/>
        <v>0</v>
      </c>
      <c r="S85" s="437">
        <f t="shared" ca="1" si="33"/>
        <v>0</v>
      </c>
      <c r="T85" s="437">
        <f t="shared" ca="1" si="33"/>
        <v>0</v>
      </c>
      <c r="U85" s="437">
        <f t="shared" ca="1" si="33"/>
        <v>0</v>
      </c>
      <c r="V85" s="437">
        <f t="shared" ca="1" si="33"/>
        <v>0</v>
      </c>
      <c r="W85" s="437">
        <f t="shared" ca="1" si="33"/>
        <v>0</v>
      </c>
      <c r="X85" s="437">
        <f t="shared" ca="1" si="33"/>
        <v>0</v>
      </c>
      <c r="Y85" s="437">
        <f t="shared" ca="1" si="33"/>
        <v>0</v>
      </c>
      <c r="Z85" s="437">
        <f t="shared" ca="1" si="33"/>
        <v>0</v>
      </c>
      <c r="AA85" s="437">
        <f t="shared" ca="1" si="33"/>
        <v>0</v>
      </c>
      <c r="AB85" s="437">
        <f t="shared" ca="1" si="33"/>
        <v>0</v>
      </c>
      <c r="AC85" s="437">
        <f t="shared" ca="1" si="33"/>
        <v>0</v>
      </c>
      <c r="AD85" s="437">
        <f t="shared" ca="1" si="33"/>
        <v>0</v>
      </c>
      <c r="AE85" s="437">
        <f t="shared" ca="1" si="33"/>
        <v>0</v>
      </c>
      <c r="AF85" s="438">
        <f t="shared" ca="1" si="33"/>
        <v>0</v>
      </c>
      <c r="AG85" s="212" t="s">
        <v>92</v>
      </c>
      <c r="AH85" s="45" t="s">
        <v>2</v>
      </c>
      <c r="AI85" s="48"/>
      <c r="AJ85" s="270"/>
      <c r="AK85" s="209"/>
      <c r="AL85" s="209"/>
      <c r="AM85" s="209"/>
      <c r="AN85" s="208"/>
      <c r="AO85" s="284"/>
      <c r="AP85" s="284"/>
      <c r="AQ85" s="119"/>
    </row>
    <row r="86" spans="1:43" s="38" customFormat="1" ht="15" customHeight="1" x14ac:dyDescent="0.2">
      <c r="A86" s="212" t="s">
        <v>81</v>
      </c>
      <c r="B86" s="40"/>
      <c r="C86" s="40"/>
      <c r="D86" s="40"/>
      <c r="E86" s="27"/>
      <c r="F86" s="40"/>
      <c r="G86" s="40"/>
      <c r="H86" s="40"/>
      <c r="I86" s="40"/>
      <c r="J86" s="27"/>
      <c r="K86" s="40"/>
      <c r="L86" s="27"/>
      <c r="M86" s="40"/>
      <c r="N86" s="40"/>
      <c r="O86" s="40"/>
      <c r="P86" s="40"/>
      <c r="Q86" s="27"/>
      <c r="R86" s="40"/>
      <c r="S86" s="27"/>
      <c r="T86" s="27"/>
      <c r="U86" s="40"/>
      <c r="V86" s="40"/>
      <c r="W86" s="40"/>
      <c r="X86" s="27"/>
      <c r="Y86" s="40"/>
      <c r="Z86" s="39"/>
      <c r="AA86" s="40"/>
      <c r="AB86" s="40"/>
      <c r="AC86" s="40"/>
      <c r="AD86" s="40"/>
      <c r="AE86" s="27"/>
      <c r="AF86" s="40"/>
      <c r="AG86" s="205" t="str">
        <f t="shared" ref="AG86:AG112" si="34">A86</f>
        <v>Consultation</v>
      </c>
      <c r="AH86" s="218"/>
      <c r="AI86" s="238">
        <f t="shared" si="32"/>
        <v>0</v>
      </c>
      <c r="AJ86" s="261"/>
      <c r="AK86" s="262"/>
      <c r="AL86" s="245">
        <f ca="1">IF(EB.Anwendung&lt;&gt;"",IF(MONTH(Monat.Tag1)=1,0,IF(MONTH(Monat.Tag1)=2,January!Monat.ArztUeVM,IF(MONTH(Monat.Tag1)=3,February!Monat.ArztUeVM,IF(MONTH(Monat.Tag1)=4,March!Monat.ArztUeVM,IF(MONTH(Monat.Tag1)=5,April!Monat.ArztUeVM,IF(MONTH(Monat.Tag1)=6,May!Monat.ArztUeVM,IF(MONTH(Monat.Tag1)=7,June!Monat.ArztUeVM,IF(MONTH(Monat.Tag1)=8,July!Monat.ArztUeVM,IF(MONTH(Monat.Tag1)=9,August!Monat.ArztUeVM,IF(MONTH(Monat.Tag1)=10,September!Monat.ArztUeVM,IF(MONTH(Monat.Tag1)=11,October!Monat.ArztUeVM,IF(MONTH(Monat.Tag1)=12,November!Monat.ArztUeVM,"")))))))))))),"")</f>
        <v>0</v>
      </c>
      <c r="AM86" s="209"/>
      <c r="AN86" s="246">
        <f t="shared" ref="AN86:AN94" ca="1" si="35">AI86+AL86</f>
        <v>0</v>
      </c>
      <c r="AO86" s="208"/>
      <c r="AP86" s="208"/>
      <c r="AQ86" s="119"/>
    </row>
    <row r="87" spans="1:43" s="38" customFormat="1" ht="15" customHeight="1" x14ac:dyDescent="0.2">
      <c r="A87" s="212" t="s">
        <v>82</v>
      </c>
      <c r="B87" s="40"/>
      <c r="C87" s="40"/>
      <c r="D87" s="40"/>
      <c r="E87" s="27"/>
      <c r="F87" s="40"/>
      <c r="G87" s="40"/>
      <c r="H87" s="40"/>
      <c r="I87" s="40"/>
      <c r="J87" s="27"/>
      <c r="K87" s="40"/>
      <c r="L87" s="27"/>
      <c r="M87" s="40"/>
      <c r="N87" s="40"/>
      <c r="O87" s="40"/>
      <c r="P87" s="40"/>
      <c r="Q87" s="27"/>
      <c r="R87" s="40"/>
      <c r="S87" s="27"/>
      <c r="T87" s="27"/>
      <c r="U87" s="40"/>
      <c r="V87" s="40"/>
      <c r="W87" s="40"/>
      <c r="X87" s="27"/>
      <c r="Y87" s="40"/>
      <c r="Z87" s="39"/>
      <c r="AA87" s="40"/>
      <c r="AB87" s="40"/>
      <c r="AC87" s="40"/>
      <c r="AD87" s="40"/>
      <c r="AE87" s="27"/>
      <c r="AF87" s="40"/>
      <c r="AG87" s="205" t="str">
        <f t="shared" si="34"/>
        <v>Illness</v>
      </c>
      <c r="AH87" s="218"/>
      <c r="AI87" s="238">
        <f t="shared" si="32"/>
        <v>0</v>
      </c>
      <c r="AJ87" s="261"/>
      <c r="AK87" s="262"/>
      <c r="AL87" s="245">
        <f ca="1">IF(EB.Anwendung&lt;&gt;"",IF(MONTH(Monat.Tag1)=1,0,IF(MONTH(Monat.Tag1)=2,January!Monat.KrankUeVM,IF(MONTH(Monat.Tag1)=3,February!Monat.KrankUeVM,IF(MONTH(Monat.Tag1)=4,March!Monat.KrankUeVM,IF(MONTH(Monat.Tag1)=5,April!Monat.KrankUeVM,IF(MONTH(Monat.Tag1)=6,May!Monat.KrankUeVM,IF(MONTH(Monat.Tag1)=7,June!Monat.KrankUeVM,IF(MONTH(Monat.Tag1)=8,July!Monat.KrankUeVM,IF(MONTH(Monat.Tag1)=9,August!Monat.KrankUeVM,IF(MONTH(Monat.Tag1)=10,September!Monat.KrankUeVM,IF(MONTH(Monat.Tag1)=11,October!Monat.KrankUeVM,IF(MONTH(Monat.Tag1)=12,November!Monat.KrankUeVM,"")))))))))))),"")</f>
        <v>0</v>
      </c>
      <c r="AM87" s="209"/>
      <c r="AN87" s="246">
        <f t="shared" ca="1" si="35"/>
        <v>0</v>
      </c>
      <c r="AO87" s="208"/>
      <c r="AP87" s="208"/>
      <c r="AQ87" s="119"/>
    </row>
    <row r="88" spans="1:43" s="38" customFormat="1" ht="15" customHeight="1" x14ac:dyDescent="0.2">
      <c r="A88" s="212" t="s">
        <v>83</v>
      </c>
      <c r="B88" s="40"/>
      <c r="C88" s="40"/>
      <c r="D88" s="40"/>
      <c r="E88" s="27"/>
      <c r="F88" s="40"/>
      <c r="G88" s="40"/>
      <c r="H88" s="40"/>
      <c r="I88" s="40"/>
      <c r="J88" s="27"/>
      <c r="K88" s="40"/>
      <c r="L88" s="27"/>
      <c r="M88" s="40"/>
      <c r="N88" s="40"/>
      <c r="O88" s="40"/>
      <c r="P88" s="40"/>
      <c r="Q88" s="27"/>
      <c r="R88" s="40"/>
      <c r="S88" s="27"/>
      <c r="T88" s="27"/>
      <c r="U88" s="40"/>
      <c r="V88" s="40"/>
      <c r="W88" s="40"/>
      <c r="X88" s="27"/>
      <c r="Y88" s="40"/>
      <c r="Z88" s="39"/>
      <c r="AA88" s="40"/>
      <c r="AB88" s="40"/>
      <c r="AC88" s="40"/>
      <c r="AD88" s="40"/>
      <c r="AE88" s="27"/>
      <c r="AF88" s="40"/>
      <c r="AG88" s="205" t="str">
        <f t="shared" si="34"/>
        <v>Work-related accident</v>
      </c>
      <c r="AH88" s="218"/>
      <c r="AI88" s="238">
        <f t="shared" si="32"/>
        <v>0</v>
      </c>
      <c r="AJ88" s="261"/>
      <c r="AK88" s="262"/>
      <c r="AL88" s="245">
        <f ca="1">IF(EB.Anwendung&lt;&gt;"",IF(MONTH(Monat.Tag1)=1,0,IF(MONTH(Monat.Tag1)=2,January!Monat.BUUeVM,IF(MONTH(Monat.Tag1)=3,February!Monat.BUUeVM,IF(MONTH(Monat.Tag1)=4,March!Monat.BUUeVM,IF(MONTH(Monat.Tag1)=5,April!Monat.BUUeVM,IF(MONTH(Monat.Tag1)=6,May!Monat.BUUeVM,IF(MONTH(Monat.Tag1)=7,June!Monat.BUUeVM,IF(MONTH(Monat.Tag1)=8,July!Monat.BUUeVM,IF(MONTH(Monat.Tag1)=9,August!Monat.BUUeVM,IF(MONTH(Monat.Tag1)=10,September!Monat.BUUeVM,IF(MONTH(Monat.Tag1)=11,October!Monat.BUUeVM,IF(MONTH(Monat.Tag1)=12,November!Monat.BUUeVM,"")))))))))))),"")</f>
        <v>0</v>
      </c>
      <c r="AM88" s="209"/>
      <c r="AN88" s="246">
        <f t="shared" ca="1" si="35"/>
        <v>0</v>
      </c>
      <c r="AO88" s="208"/>
      <c r="AP88" s="208"/>
      <c r="AQ88" s="119"/>
    </row>
    <row r="89" spans="1:43" s="38" customFormat="1" ht="15" customHeight="1" x14ac:dyDescent="0.2">
      <c r="A89" s="212" t="s">
        <v>240</v>
      </c>
      <c r="B89" s="40"/>
      <c r="C89" s="40"/>
      <c r="D89" s="40"/>
      <c r="E89" s="27"/>
      <c r="F89" s="40"/>
      <c r="G89" s="40"/>
      <c r="H89" s="40"/>
      <c r="I89" s="40"/>
      <c r="J89" s="27"/>
      <c r="K89" s="40"/>
      <c r="L89" s="27"/>
      <c r="M89" s="40"/>
      <c r="N89" s="40"/>
      <c r="O89" s="40"/>
      <c r="P89" s="40"/>
      <c r="Q89" s="27"/>
      <c r="R89" s="40"/>
      <c r="S89" s="27"/>
      <c r="T89" s="27"/>
      <c r="U89" s="40"/>
      <c r="V89" s="40"/>
      <c r="W89" s="40"/>
      <c r="X89" s="27"/>
      <c r="Y89" s="40"/>
      <c r="Z89" s="39"/>
      <c r="AA89" s="40"/>
      <c r="AB89" s="40"/>
      <c r="AC89" s="40"/>
      <c r="AD89" s="40"/>
      <c r="AE89" s="27"/>
      <c r="AF89" s="40"/>
      <c r="AG89" s="205" t="str">
        <f t="shared" si="34"/>
        <v>Non-work-related accident</v>
      </c>
      <c r="AH89" s="218"/>
      <c r="AI89" s="238">
        <f t="shared" si="32"/>
        <v>0</v>
      </c>
      <c r="AJ89" s="261"/>
      <c r="AK89" s="262"/>
      <c r="AL89" s="245">
        <f ca="1">IF(EB.Anwendung&lt;&gt;"",IF(MONTH(Monat.Tag1)=1,0,IF(MONTH(Monat.Tag1)=2,January!Monat.NBUUeVM,IF(MONTH(Monat.Tag1)=3,February!Monat.NBUUeVM,IF(MONTH(Monat.Tag1)=4,March!Monat.NBUUeVM,IF(MONTH(Monat.Tag1)=5,April!Monat.NBUUeVM,IF(MONTH(Monat.Tag1)=6,May!Monat.NBUUeVM,IF(MONTH(Monat.Tag1)=7,June!Monat.NBUUeVM,IF(MONTH(Monat.Tag1)=8,July!Monat.NBUUeVM,IF(MONTH(Monat.Tag1)=9,August!Monat.NBUUeVM,IF(MONTH(Monat.Tag1)=10,September!Monat.NBUUeVM,IF(MONTH(Monat.Tag1)=11,October!Monat.NBUUeVM,IF(MONTH(Monat.Tag1)=12,November!Monat.NBUUeVM,"")))))))))))),"")</f>
        <v>0</v>
      </c>
      <c r="AM89" s="209"/>
      <c r="AN89" s="246">
        <f t="shared" ca="1" si="35"/>
        <v>0</v>
      </c>
      <c r="AO89" s="208"/>
      <c r="AP89" s="208"/>
      <c r="AQ89" s="119"/>
    </row>
    <row r="90" spans="1:43" s="38" customFormat="1" ht="15" customHeight="1" x14ac:dyDescent="0.2">
      <c r="A90" s="212" t="s">
        <v>84</v>
      </c>
      <c r="B90" s="40"/>
      <c r="C90" s="40"/>
      <c r="D90" s="40"/>
      <c r="E90" s="27"/>
      <c r="F90" s="40"/>
      <c r="G90" s="40"/>
      <c r="H90" s="40"/>
      <c r="I90" s="40"/>
      <c r="J90" s="27"/>
      <c r="K90" s="40"/>
      <c r="L90" s="27"/>
      <c r="M90" s="40"/>
      <c r="N90" s="40"/>
      <c r="O90" s="40"/>
      <c r="P90" s="40"/>
      <c r="Q90" s="27"/>
      <c r="R90" s="40"/>
      <c r="S90" s="27"/>
      <c r="T90" s="27"/>
      <c r="U90" s="40"/>
      <c r="V90" s="40"/>
      <c r="W90" s="40"/>
      <c r="X90" s="27"/>
      <c r="Y90" s="40"/>
      <c r="Z90" s="39"/>
      <c r="AA90" s="40"/>
      <c r="AB90" s="40"/>
      <c r="AC90" s="40"/>
      <c r="AD90" s="40"/>
      <c r="AE90" s="27"/>
      <c r="AF90" s="40"/>
      <c r="AG90" s="205" t="str">
        <f t="shared" si="34"/>
        <v>Military/civilian service</v>
      </c>
      <c r="AH90" s="218"/>
      <c r="AI90" s="238">
        <f t="shared" si="32"/>
        <v>0</v>
      </c>
      <c r="AJ90" s="261"/>
      <c r="AK90" s="262"/>
      <c r="AL90" s="245">
        <f ca="1">IF(EB.Anwendung&lt;&gt;"",IF(MONTH(Monat.Tag1)=1,0,IF(MONTH(Monat.Tag1)=2,January!Monat.MZSUeVM,IF(MONTH(Monat.Tag1)=3,February!Monat.MZSUeVM,IF(MONTH(Monat.Tag1)=4,March!Monat.MZSUeVM,IF(MONTH(Monat.Tag1)=5,April!Monat.MZSUeVM,IF(MONTH(Monat.Tag1)=6,May!Monat.MZSUeVM,IF(MONTH(Monat.Tag1)=7,June!Monat.MZSUeVM,IF(MONTH(Monat.Tag1)=8,July!Monat.MZSUeVM,IF(MONTH(Monat.Tag1)=9,August!Monat.MZSUeVM,IF(MONTH(Monat.Tag1)=10,September!Monat.MZSUeVM,IF(MONTH(Monat.Tag1)=11,October!Monat.MZSUeVM,IF(MONTH(Monat.Tag1)=12,November!Monat.MZSUeVM,"")))))))))))),"")</f>
        <v>0</v>
      </c>
      <c r="AM90" s="209"/>
      <c r="AN90" s="246">
        <f t="shared" ca="1" si="35"/>
        <v>0</v>
      </c>
      <c r="AO90" s="208"/>
      <c r="AP90" s="208"/>
      <c r="AQ90" s="119"/>
    </row>
    <row r="91" spans="1:43" s="38" customFormat="1" ht="15" customHeight="1" x14ac:dyDescent="0.2">
      <c r="A91" s="212" t="s">
        <v>85</v>
      </c>
      <c r="B91" s="40"/>
      <c r="C91" s="40"/>
      <c r="D91" s="40"/>
      <c r="E91" s="27"/>
      <c r="F91" s="40"/>
      <c r="G91" s="40"/>
      <c r="H91" s="40"/>
      <c r="I91" s="40"/>
      <c r="J91" s="27"/>
      <c r="K91" s="40"/>
      <c r="L91" s="27"/>
      <c r="M91" s="40"/>
      <c r="N91" s="40"/>
      <c r="O91" s="40"/>
      <c r="P91" s="40"/>
      <c r="Q91" s="27"/>
      <c r="R91" s="40"/>
      <c r="S91" s="27"/>
      <c r="T91" s="27"/>
      <c r="U91" s="40"/>
      <c r="V91" s="40"/>
      <c r="W91" s="40"/>
      <c r="X91" s="27"/>
      <c r="Y91" s="40"/>
      <c r="Z91" s="39"/>
      <c r="AA91" s="40"/>
      <c r="AB91" s="40"/>
      <c r="AC91" s="40"/>
      <c r="AD91" s="40"/>
      <c r="AE91" s="27"/>
      <c r="AF91" s="40"/>
      <c r="AG91" s="205" t="str">
        <f t="shared" si="34"/>
        <v>Continuing education</v>
      </c>
      <c r="AH91" s="218"/>
      <c r="AI91" s="238">
        <f t="shared" si="32"/>
        <v>0</v>
      </c>
      <c r="AJ91" s="261"/>
      <c r="AK91" s="262"/>
      <c r="AL91" s="245">
        <f ca="1">IF(EB.Anwendung&lt;&gt;"",IF(MONTH(Monat.Tag1)=1,0,IF(MONTH(Monat.Tag1)=2,January!Monat.WBUeVM,IF(MONTH(Monat.Tag1)=3,February!Monat.WBUeVM,IF(MONTH(Monat.Tag1)=4,March!Monat.WBUeVM,IF(MONTH(Monat.Tag1)=5,April!Monat.WBUeVM,IF(MONTH(Monat.Tag1)=6,May!Monat.WBUeVM,IF(MONTH(Monat.Tag1)=7,June!Monat.WBUeVM,IF(MONTH(Monat.Tag1)=8,July!Monat.WBUeVM,IF(MONTH(Monat.Tag1)=9,August!Monat.WBUeVM,IF(MONTH(Monat.Tag1)=10,September!Monat.WBUeVM,IF(MONTH(Monat.Tag1)=11,October!Monat.WBUeVM,IF(MONTH(Monat.Tag1)=12,November!Monat.WBUeVM,"")))))))))))),"")</f>
        <v>0</v>
      </c>
      <c r="AM91" s="209"/>
      <c r="AN91" s="246">
        <f t="shared" ca="1" si="35"/>
        <v>0</v>
      </c>
      <c r="AO91" s="208"/>
      <c r="AP91" s="208"/>
      <c r="AQ91" s="119"/>
    </row>
    <row r="92" spans="1:43" s="38" customFormat="1" ht="15" customHeight="1" x14ac:dyDescent="0.2">
      <c r="A92" s="212" t="s">
        <v>86</v>
      </c>
      <c r="B92" s="40"/>
      <c r="C92" s="40"/>
      <c r="D92" s="40"/>
      <c r="E92" s="27"/>
      <c r="F92" s="40"/>
      <c r="G92" s="40"/>
      <c r="H92" s="40"/>
      <c r="I92" s="40"/>
      <c r="J92" s="27"/>
      <c r="K92" s="40"/>
      <c r="L92" s="27"/>
      <c r="M92" s="40"/>
      <c r="N92" s="40"/>
      <c r="O92" s="40"/>
      <c r="P92" s="40"/>
      <c r="Q92" s="27"/>
      <c r="R92" s="40"/>
      <c r="S92" s="27"/>
      <c r="T92" s="27"/>
      <c r="U92" s="40"/>
      <c r="V92" s="40"/>
      <c r="W92" s="40"/>
      <c r="X92" s="27"/>
      <c r="Y92" s="40"/>
      <c r="Z92" s="39"/>
      <c r="AA92" s="40"/>
      <c r="AB92" s="40"/>
      <c r="AC92" s="40"/>
      <c r="AD92" s="40"/>
      <c r="AE92" s="27"/>
      <c r="AF92" s="40"/>
      <c r="AG92" s="205" t="str">
        <f t="shared" si="34"/>
        <v>Paid leave</v>
      </c>
      <c r="AH92" s="218"/>
      <c r="AI92" s="238">
        <f t="shared" si="32"/>
        <v>0</v>
      </c>
      <c r="AJ92" s="261"/>
      <c r="AK92" s="262"/>
      <c r="AL92" s="245">
        <f ca="1">IF(EB.Anwendung&lt;&gt;"",IF(MONTH(Monat.Tag1)=1,0,IF(MONTH(Monat.Tag1)=2,January!Monat.BesUrlaubUeVM,IF(MONTH(Monat.Tag1)=3,February!Monat.BesUrlaubUeVM,IF(MONTH(Monat.Tag1)=4,March!Monat.BesUrlaubUeVM,IF(MONTH(Monat.Tag1)=5,April!Monat.BesUrlaubUeVM,IF(MONTH(Monat.Tag1)=6,May!Monat.BesUrlaubUeVM,IF(MONTH(Monat.Tag1)=7,June!Monat.BesUrlaubUeVM,IF(MONTH(Monat.Tag1)=8,July!Monat.BesUrlaubUeVM,IF(MONTH(Monat.Tag1)=9,August!Monat.BesUrlaubUeVM,IF(MONTH(Monat.Tag1)=10,September!Monat.BesUrlaubUeVM,IF(MONTH(Monat.Tag1)=11,October!Monat.BesUrlaubUeVM,IF(MONTH(Monat.Tag1)=12,November!Monat.BesUrlaubUeVM,"")))))))))))),"")</f>
        <v>0</v>
      </c>
      <c r="AM92" s="209"/>
      <c r="AN92" s="246">
        <f t="shared" ca="1" si="35"/>
        <v>0</v>
      </c>
      <c r="AO92" s="208"/>
      <c r="AP92" s="208"/>
      <c r="AQ92" s="119"/>
    </row>
    <row r="93" spans="1:43" s="38" customFormat="1" ht="15" customHeight="1" x14ac:dyDescent="0.2">
      <c r="A93" s="212" t="s">
        <v>87</v>
      </c>
      <c r="B93" s="40"/>
      <c r="C93" s="40"/>
      <c r="D93" s="40"/>
      <c r="E93" s="27"/>
      <c r="F93" s="40"/>
      <c r="G93" s="40"/>
      <c r="H93" s="40"/>
      <c r="I93" s="40"/>
      <c r="J93" s="27"/>
      <c r="K93" s="40"/>
      <c r="L93" s="27"/>
      <c r="M93" s="40"/>
      <c r="N93" s="40"/>
      <c r="O93" s="40"/>
      <c r="P93" s="40"/>
      <c r="Q93" s="27"/>
      <c r="R93" s="40"/>
      <c r="S93" s="27"/>
      <c r="T93" s="27"/>
      <c r="U93" s="40"/>
      <c r="V93" s="40"/>
      <c r="W93" s="40"/>
      <c r="X93" s="27"/>
      <c r="Y93" s="40"/>
      <c r="Z93" s="39"/>
      <c r="AA93" s="40"/>
      <c r="AB93" s="40"/>
      <c r="AC93" s="40"/>
      <c r="AD93" s="40"/>
      <c r="AE93" s="27"/>
      <c r="AF93" s="40"/>
      <c r="AG93" s="205" t="str">
        <f t="shared" si="34"/>
        <v>Unpaid leave</v>
      </c>
      <c r="AH93" s="218"/>
      <c r="AI93" s="238">
        <f t="shared" si="32"/>
        <v>0</v>
      </c>
      <c r="AJ93" s="261"/>
      <c r="AK93" s="262"/>
      <c r="AL93" s="245">
        <f ca="1">IF(EB.Anwendung&lt;&gt;"",IF(MONTH(Monat.Tag1)=1,0,IF(MONTH(Monat.Tag1)=2,January!Monat.UnbesUrlaubUeVM,IF(MONTH(Monat.Tag1)=3,February!Monat.UnbesUrlaubUeVM,IF(MONTH(Monat.Tag1)=4,March!Monat.UnbesUrlaubUeVM,IF(MONTH(Monat.Tag1)=5,April!Monat.UnbesUrlaubUeVM,IF(MONTH(Monat.Tag1)=6,May!Monat.UnbesUrlaubUeVM,IF(MONTH(Monat.Tag1)=7,June!Monat.UnbesUrlaubUeVM,IF(MONTH(Monat.Tag1)=8,July!Monat.UnbesUrlaubUeVM,IF(MONTH(Monat.Tag1)=9,August!Monat.UnbesUrlaubUeVM,IF(MONTH(Monat.Tag1)=10,September!Monat.UnbesUrlaubUeVM,IF(MONTH(Monat.Tag1)=11,October!Monat.UnbesUrlaubUeVM,IF(MONTH(Monat.Tag1)=12,November!Monat.UnbesUrlaubUeVM,"")))))))))))),"")</f>
        <v>0</v>
      </c>
      <c r="AM93" s="209"/>
      <c r="AN93" s="246">
        <f t="shared" ca="1" si="35"/>
        <v>0</v>
      </c>
      <c r="AO93" s="208"/>
      <c r="AP93" s="208"/>
      <c r="AQ93" s="119"/>
    </row>
    <row r="94" spans="1:43" s="38" customFormat="1" ht="15" hidden="1" customHeight="1" outlineLevel="1" x14ac:dyDescent="0.2">
      <c r="A94" s="212" t="s">
        <v>120</v>
      </c>
      <c r="B94" s="40"/>
      <c r="C94" s="40"/>
      <c r="D94" s="40"/>
      <c r="E94" s="27"/>
      <c r="F94" s="40"/>
      <c r="G94" s="40"/>
      <c r="H94" s="40"/>
      <c r="I94" s="40"/>
      <c r="J94" s="27"/>
      <c r="K94" s="40"/>
      <c r="L94" s="27"/>
      <c r="M94" s="40"/>
      <c r="N94" s="40"/>
      <c r="O94" s="40"/>
      <c r="P94" s="40"/>
      <c r="Q94" s="27"/>
      <c r="R94" s="40"/>
      <c r="S94" s="27"/>
      <c r="T94" s="27"/>
      <c r="U94" s="40"/>
      <c r="V94" s="40"/>
      <c r="W94" s="40"/>
      <c r="X94" s="27"/>
      <c r="Y94" s="40"/>
      <c r="Z94" s="39"/>
      <c r="AA94" s="40"/>
      <c r="AB94" s="40"/>
      <c r="AC94" s="40"/>
      <c r="AD94" s="40"/>
      <c r="AE94" s="27"/>
      <c r="AF94" s="40"/>
      <c r="AG94" s="205" t="str">
        <f t="shared" si="34"/>
        <v>Secondary employment</v>
      </c>
      <c r="AH94" s="218"/>
      <c r="AI94" s="238">
        <f t="shared" si="32"/>
        <v>0</v>
      </c>
      <c r="AJ94" s="261"/>
      <c r="AK94" s="262"/>
      <c r="AL94" s="245">
        <f ca="1">IF(EB.Anwendung&lt;&gt;"",IF(MONTH(Monat.Tag1)=1,0,IF(MONTH(Monat.Tag1)=2,January!Monat.NBUeVM,IF(MONTH(Monat.Tag1)=3,February!Monat.NBUeVM,IF(MONTH(Monat.Tag1)=4,March!Monat.NBUeVM,IF(MONTH(Monat.Tag1)=5,April!Monat.NBUeVM,IF(MONTH(Monat.Tag1)=6,May!Monat.NBUeVM,IF(MONTH(Monat.Tag1)=7,June!Monat.NBUeVM,IF(MONTH(Monat.Tag1)=8,July!Monat.NBUeVM,IF(MONTH(Monat.Tag1)=9,August!Monat.NBUeVM,IF(MONTH(Monat.Tag1)=10,September!Monat.NBUeVM,IF(MONTH(Monat.Tag1)=11,October!Monat.NBUeVM,IF(MONTH(Monat.Tag1)=12,November!Monat.NBUeVM,"")))))))))))),"")</f>
        <v>0</v>
      </c>
      <c r="AM94" s="209"/>
      <c r="AN94" s="246">
        <f t="shared" ca="1" si="35"/>
        <v>0</v>
      </c>
      <c r="AO94" s="208"/>
      <c r="AP94" s="208"/>
      <c r="AQ94" s="119"/>
    </row>
    <row r="95" spans="1:43" s="38" customFormat="1" ht="15" customHeight="1" collapsed="1" x14ac:dyDescent="0.2">
      <c r="A95" s="212" t="s">
        <v>56</v>
      </c>
      <c r="B95" s="40"/>
      <c r="C95" s="40"/>
      <c r="D95" s="40"/>
      <c r="E95" s="27"/>
      <c r="F95" s="40"/>
      <c r="G95" s="40"/>
      <c r="H95" s="40"/>
      <c r="I95" s="40"/>
      <c r="J95" s="27"/>
      <c r="K95" s="40"/>
      <c r="L95" s="27"/>
      <c r="M95" s="40"/>
      <c r="N95" s="40"/>
      <c r="O95" s="40"/>
      <c r="P95" s="40"/>
      <c r="Q95" s="27"/>
      <c r="R95" s="40"/>
      <c r="S95" s="27"/>
      <c r="T95" s="27"/>
      <c r="U95" s="40"/>
      <c r="V95" s="40"/>
      <c r="W95" s="40"/>
      <c r="X95" s="27"/>
      <c r="Y95" s="40"/>
      <c r="Z95" s="39"/>
      <c r="AA95" s="40"/>
      <c r="AB95" s="40"/>
      <c r="AC95" s="40"/>
      <c r="AD95" s="40"/>
      <c r="AE95" s="27"/>
      <c r="AF95" s="40"/>
      <c r="AG95" s="205" t="str">
        <f t="shared" si="34"/>
        <v>Seniority allowance</v>
      </c>
      <c r="AH95" s="218"/>
      <c r="AI95" s="238">
        <f t="shared" si="32"/>
        <v>0</v>
      </c>
      <c r="AJ95" s="261"/>
      <c r="AK95" s="262"/>
      <c r="AL95" s="245">
        <f ca="1">IF(EB.Anwendung&lt;&gt;"",IF(MONTH(Monat.Tag1)=1,EB.DAG,IF(MONTH(Monat.Tag1)=2,January!Monat.DAGUeVM,IF(MONTH(Monat.Tag1)=3,February!Monat.DAGUeVM,IF(MONTH(Monat.Tag1)=4,March!Monat.DAGUeVM,IF(MONTH(Monat.Tag1)=5,April!Monat.DAGUeVM,IF(MONTH(Monat.Tag1)=6,May!Monat.DAGUeVM,IF(MONTH(Monat.Tag1)=7,June!Monat.DAGUeVM,IF(MONTH(Monat.Tag1)=8,July!Monat.DAGUeVM,IF(MONTH(Monat.Tag1)=9,August!Monat.DAGUeVM,IF(MONTH(Monat.Tag1)=10,September!Monat.DAGUeVM,IF(MONTH(Monat.Tag1)=11,October!Monat.DAGUeVM,IF(MONTH(Monat.Tag1)=12,November!Monat.DAGUeVM,"")))))))))))),"")</f>
        <v>0</v>
      </c>
      <c r="AM95" s="209"/>
      <c r="AN95" s="246">
        <f ca="1">AL95-AI95</f>
        <v>0</v>
      </c>
      <c r="AO95" s="208"/>
      <c r="AP95" s="208"/>
      <c r="AQ95" s="119"/>
    </row>
    <row r="96" spans="1:43" s="38" customFormat="1" ht="11.25" customHeight="1" x14ac:dyDescent="0.2">
      <c r="A96" s="220"/>
      <c r="B96" s="223"/>
      <c r="C96" s="223"/>
      <c r="D96" s="223"/>
      <c r="E96" s="223"/>
      <c r="F96" s="223"/>
      <c r="G96" s="223"/>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23"/>
      <c r="AF96" s="224"/>
      <c r="AG96" s="205"/>
      <c r="AH96" s="228"/>
      <c r="AI96" s="224"/>
      <c r="AJ96" s="278"/>
      <c r="AK96" s="262"/>
      <c r="AL96" s="262"/>
      <c r="AM96" s="209"/>
      <c r="AN96" s="279"/>
      <c r="AO96" s="213"/>
      <c r="AP96" s="213"/>
      <c r="AQ96" s="119"/>
    </row>
    <row r="97" spans="1:43" s="38" customFormat="1" ht="15" customHeight="1" x14ac:dyDescent="0.2">
      <c r="A97" s="215" t="str">
        <f t="shared" ref="A97:A111" ca="1" si="36">IF(ROW(A97)-ROW(INDEX(Monat.Projekte.Zeilen,1))+1&gt;EB.AnzProjekte,"",OFFSET(EB.Projekte.Knoten,ROW(A97)-ROW(INDEX(Monat.Projekte.Zeilen,1))+1,0,1,1))</f>
        <v/>
      </c>
      <c r="B97" s="40"/>
      <c r="C97" s="40"/>
      <c r="D97" s="40"/>
      <c r="E97" s="27"/>
      <c r="F97" s="40"/>
      <c r="G97" s="40"/>
      <c r="H97" s="40"/>
      <c r="I97" s="40"/>
      <c r="J97" s="27"/>
      <c r="K97" s="40"/>
      <c r="L97" s="27"/>
      <c r="M97" s="40"/>
      <c r="N97" s="40"/>
      <c r="O97" s="40"/>
      <c r="P97" s="40"/>
      <c r="Q97" s="27"/>
      <c r="R97" s="40"/>
      <c r="S97" s="27"/>
      <c r="T97" s="27"/>
      <c r="U97" s="40"/>
      <c r="V97" s="40"/>
      <c r="W97" s="40"/>
      <c r="X97" s="27"/>
      <c r="Y97" s="40"/>
      <c r="Z97" s="39"/>
      <c r="AA97" s="40"/>
      <c r="AB97" s="40"/>
      <c r="AC97" s="40"/>
      <c r="AD97" s="40"/>
      <c r="AE97" s="27"/>
      <c r="AF97" s="40"/>
      <c r="AG97" s="205" t="str">
        <f t="shared" ca="1" si="34"/>
        <v/>
      </c>
      <c r="AH97" s="233"/>
      <c r="AI97" s="285">
        <f>SUM(B97:AF97)</f>
        <v>0</v>
      </c>
      <c r="AJ97" s="261"/>
      <c r="AK97" s="224"/>
      <c r="AL97" s="245">
        <f ca="1">IF(EB.Anwendung&lt;&gt;"",IF(MONTH(Monat.Tag1)=1,0,IF(MONTH(Monat.Tag1)=2,January!Monat.P1UeVM,IF(MONTH(Monat.Tag1)=3,February!Monat.P1UeVM,IF(MONTH(Monat.Tag1)=4,March!Monat.P1UeVM,IF(MONTH(Monat.Tag1)=5,April!Monat.P1UeVM,IF(MONTH(Monat.Tag1)=6,May!Monat.P1UeVM,IF(MONTH(Monat.Tag1)=7,June!Monat.P1UeVM,IF(MONTH(Monat.Tag1)=8,July!Monat.P1UeVM,IF(MONTH(Monat.Tag1)=9,August!Monat.P1UeVM,IF(MONTH(Monat.Tag1)=10,September!Monat.P1UeVM,IF(MONTH(Monat.Tag1)=11,October!Monat.P1UeVM,IF(MONTH(Monat.Tag1)=12,November!Monat.P1UeVM,"")))))))))))),"")</f>
        <v>0</v>
      </c>
      <c r="AM97" s="209"/>
      <c r="AN97" s="246">
        <f t="shared" ref="AN97:AN112" ca="1" si="37">AI97+AL97</f>
        <v>0</v>
      </c>
      <c r="AO97" s="208"/>
      <c r="AP97" s="208"/>
      <c r="AQ97" s="119"/>
    </row>
    <row r="98" spans="1:43" s="38" customFormat="1" ht="15" customHeight="1" x14ac:dyDescent="0.2">
      <c r="A98" s="215" t="str">
        <f t="shared" ca="1" si="36"/>
        <v/>
      </c>
      <c r="B98" s="40"/>
      <c r="C98" s="40"/>
      <c r="D98" s="40"/>
      <c r="E98" s="27"/>
      <c r="F98" s="40"/>
      <c r="G98" s="40"/>
      <c r="H98" s="40"/>
      <c r="I98" s="40"/>
      <c r="J98" s="27"/>
      <c r="K98" s="40"/>
      <c r="L98" s="27"/>
      <c r="M98" s="40"/>
      <c r="N98" s="40"/>
      <c r="O98" s="40"/>
      <c r="P98" s="40"/>
      <c r="Q98" s="27"/>
      <c r="R98" s="40"/>
      <c r="S98" s="27"/>
      <c r="T98" s="27"/>
      <c r="U98" s="40"/>
      <c r="V98" s="40"/>
      <c r="W98" s="40"/>
      <c r="X98" s="27"/>
      <c r="Y98" s="40"/>
      <c r="Z98" s="39"/>
      <c r="AA98" s="40"/>
      <c r="AB98" s="40"/>
      <c r="AC98" s="40"/>
      <c r="AD98" s="40"/>
      <c r="AE98" s="27"/>
      <c r="AF98" s="40"/>
      <c r="AG98" s="205" t="str">
        <f t="shared" ca="1" si="34"/>
        <v/>
      </c>
      <c r="AH98" s="218"/>
      <c r="AI98" s="238">
        <f>SUM(B98:AF98)</f>
        <v>0</v>
      </c>
      <c r="AJ98" s="261"/>
      <c r="AK98" s="224"/>
      <c r="AL98" s="245">
        <f ca="1">IF(EB.Anwendung&lt;&gt;"",IF(MONTH(Monat.Tag1)=1,0,IF(MONTH(Monat.Tag1)=2,January!Monat.P2UeVM,IF(MONTH(Monat.Tag1)=3,February!Monat.P2UeVM,IF(MONTH(Monat.Tag1)=4,March!Monat.P2UeVM,IF(MONTH(Monat.Tag1)=5,April!Monat.P2UeVM,IF(MONTH(Monat.Tag1)=6,May!Monat.P2UeVM,IF(MONTH(Monat.Tag1)=7,June!Monat.P2UeVM,IF(MONTH(Monat.Tag1)=8,July!Monat.P2UeVM,IF(MONTH(Monat.Tag1)=9,August!Monat.P2UeVM,IF(MONTH(Monat.Tag1)=10,September!Monat.P2UeVM,IF(MONTH(Monat.Tag1)=11,October!Monat.P2UeVM,IF(MONTH(Monat.Tag1)=12,November!Monat.P2UeVM,"")))))))))))),"")</f>
        <v>0</v>
      </c>
      <c r="AM98" s="209"/>
      <c r="AN98" s="246">
        <f t="shared" ca="1" si="37"/>
        <v>0</v>
      </c>
      <c r="AO98" s="208"/>
      <c r="AP98" s="208"/>
      <c r="AQ98" s="119"/>
    </row>
    <row r="99" spans="1:43" s="38" customFormat="1" ht="15" customHeight="1" x14ac:dyDescent="0.2">
      <c r="A99" s="215" t="str">
        <f t="shared" ca="1" si="36"/>
        <v/>
      </c>
      <c r="B99" s="40"/>
      <c r="C99" s="40"/>
      <c r="D99" s="40"/>
      <c r="E99" s="27"/>
      <c r="F99" s="40"/>
      <c r="G99" s="40"/>
      <c r="H99" s="40"/>
      <c r="I99" s="40"/>
      <c r="J99" s="27"/>
      <c r="K99" s="40"/>
      <c r="L99" s="27"/>
      <c r="M99" s="40"/>
      <c r="N99" s="40"/>
      <c r="O99" s="40"/>
      <c r="P99" s="40"/>
      <c r="Q99" s="27"/>
      <c r="R99" s="40"/>
      <c r="S99" s="27"/>
      <c r="T99" s="27"/>
      <c r="U99" s="40"/>
      <c r="V99" s="40"/>
      <c r="W99" s="40"/>
      <c r="X99" s="27"/>
      <c r="Y99" s="40"/>
      <c r="Z99" s="39"/>
      <c r="AA99" s="40"/>
      <c r="AB99" s="40"/>
      <c r="AC99" s="40"/>
      <c r="AD99" s="40"/>
      <c r="AE99" s="27"/>
      <c r="AF99" s="40"/>
      <c r="AG99" s="205" t="str">
        <f t="shared" ca="1" si="34"/>
        <v/>
      </c>
      <c r="AH99" s="286"/>
      <c r="AI99" s="238">
        <f>SUM(B99:AF99)</f>
        <v>0</v>
      </c>
      <c r="AJ99" s="261"/>
      <c r="AK99" s="224"/>
      <c r="AL99" s="245">
        <f ca="1">IF(EB.Anwendung&lt;&gt;"",IF(MONTH(Monat.Tag1)=1,0,IF(MONTH(Monat.Tag1)=2,January!Monat.P3UeVM,IF(MONTH(Monat.Tag1)=3,February!Monat.P3UeVM,IF(MONTH(Monat.Tag1)=4,March!Monat.P3UeVM,IF(MONTH(Monat.Tag1)=5,April!Monat.P3UeVM,IF(MONTH(Monat.Tag1)=6,May!Monat.P3UeVM,IF(MONTH(Monat.Tag1)=7,June!Monat.P3UeVM,IF(MONTH(Monat.Tag1)=8,July!Monat.P3UeVM,IF(MONTH(Monat.Tag1)=9,August!Monat.P3UeVM,IF(MONTH(Monat.Tag1)=10,September!Monat.P3UeVM,IF(MONTH(Monat.Tag1)=11,October!Monat.P3UeVM,IF(MONTH(Monat.Tag1)=12,November!Monat.P3UeVM,"")))))))))))),"")</f>
        <v>0</v>
      </c>
      <c r="AM99" s="209"/>
      <c r="AN99" s="246">
        <f t="shared" ca="1" si="37"/>
        <v>0</v>
      </c>
      <c r="AO99" s="208"/>
      <c r="AP99" s="208"/>
      <c r="AQ99" s="119"/>
    </row>
    <row r="100" spans="1:43" s="38" customFormat="1" ht="15" customHeight="1" x14ac:dyDescent="0.2">
      <c r="A100" s="215" t="str">
        <f t="shared" ca="1" si="36"/>
        <v/>
      </c>
      <c r="B100" s="40"/>
      <c r="C100" s="40"/>
      <c r="D100" s="40"/>
      <c r="E100" s="27"/>
      <c r="F100" s="40"/>
      <c r="G100" s="40"/>
      <c r="H100" s="40"/>
      <c r="I100" s="40"/>
      <c r="J100" s="27"/>
      <c r="K100" s="40"/>
      <c r="L100" s="27"/>
      <c r="M100" s="40"/>
      <c r="N100" s="40"/>
      <c r="O100" s="40"/>
      <c r="P100" s="40"/>
      <c r="Q100" s="27"/>
      <c r="R100" s="40"/>
      <c r="S100" s="27"/>
      <c r="T100" s="27"/>
      <c r="U100" s="40"/>
      <c r="V100" s="40"/>
      <c r="W100" s="40"/>
      <c r="X100" s="27"/>
      <c r="Y100" s="40"/>
      <c r="Z100" s="39"/>
      <c r="AA100" s="40"/>
      <c r="AB100" s="40"/>
      <c r="AC100" s="40"/>
      <c r="AD100" s="40"/>
      <c r="AE100" s="27"/>
      <c r="AF100" s="40"/>
      <c r="AG100" s="205" t="str">
        <f t="shared" ca="1" si="34"/>
        <v/>
      </c>
      <c r="AH100" s="228"/>
      <c r="AI100" s="238">
        <f t="shared" ref="AI100:AI112" si="38">SUM(B100:AF100)</f>
        <v>0</v>
      </c>
      <c r="AJ100" s="261"/>
      <c r="AK100" s="224"/>
      <c r="AL100" s="245">
        <f ca="1">IF(EB.Anwendung&lt;&gt;"",IF(MONTH(Monat.Tag1)=1,0,IF(MONTH(Monat.Tag1)=2,January!Monat.P4UeVM,IF(MONTH(Monat.Tag1)=3,February!Monat.P4UeVM,IF(MONTH(Monat.Tag1)=4,March!Monat.P4UeVM,IF(MONTH(Monat.Tag1)=5,April!Monat.P4UeVM,IF(MONTH(Monat.Tag1)=6,May!Monat.P4UeVM,IF(MONTH(Monat.Tag1)=7,June!Monat.P4UeVM,IF(MONTH(Monat.Tag1)=8,July!Monat.P4UeVM,IF(MONTH(Monat.Tag1)=9,August!Monat.P4UeVM,IF(MONTH(Monat.Tag1)=10,September!Monat.P4UeVM,IF(MONTH(Monat.Tag1)=11,October!Monat.P4UeVM,IF(MONTH(Monat.Tag1)=12,November!Monat.P4UeVM,"")))))))))))),"")</f>
        <v>0</v>
      </c>
      <c r="AM100" s="209"/>
      <c r="AN100" s="246">
        <f t="shared" ca="1" si="37"/>
        <v>0</v>
      </c>
      <c r="AO100" s="208"/>
      <c r="AP100" s="208"/>
      <c r="AQ100" s="119"/>
    </row>
    <row r="101" spans="1:43" s="38" customFormat="1" ht="15" customHeight="1" x14ac:dyDescent="0.2">
      <c r="A101" s="215" t="str">
        <f t="shared" ca="1" si="36"/>
        <v/>
      </c>
      <c r="B101" s="40"/>
      <c r="C101" s="40"/>
      <c r="D101" s="40"/>
      <c r="E101" s="27"/>
      <c r="F101" s="40"/>
      <c r="G101" s="40"/>
      <c r="H101" s="40"/>
      <c r="I101" s="40"/>
      <c r="J101" s="27"/>
      <c r="K101" s="40"/>
      <c r="L101" s="27"/>
      <c r="M101" s="40"/>
      <c r="N101" s="40"/>
      <c r="O101" s="40"/>
      <c r="P101" s="40"/>
      <c r="Q101" s="27"/>
      <c r="R101" s="40"/>
      <c r="S101" s="27"/>
      <c r="T101" s="27"/>
      <c r="U101" s="40"/>
      <c r="V101" s="40"/>
      <c r="W101" s="40"/>
      <c r="X101" s="27"/>
      <c r="Y101" s="40"/>
      <c r="Z101" s="39"/>
      <c r="AA101" s="40"/>
      <c r="AB101" s="40"/>
      <c r="AC101" s="40"/>
      <c r="AD101" s="40"/>
      <c r="AE101" s="27"/>
      <c r="AF101" s="40"/>
      <c r="AG101" s="205" t="str">
        <f t="shared" ca="1" si="34"/>
        <v/>
      </c>
      <c r="AH101" s="218"/>
      <c r="AI101" s="238">
        <f t="shared" si="38"/>
        <v>0</v>
      </c>
      <c r="AJ101" s="261"/>
      <c r="AK101" s="224"/>
      <c r="AL101" s="245">
        <f ca="1">IF(EB.Anwendung&lt;&gt;"",IF(MONTH(Monat.Tag1)=1,0,IF(MONTH(Monat.Tag1)=2,January!Monat.P5UeVM,IF(MONTH(Monat.Tag1)=3,February!Monat.P5UeVM,IF(MONTH(Monat.Tag1)=4,March!Monat.P5UeVM,IF(MONTH(Monat.Tag1)=5,April!Monat.P5UeVM,IF(MONTH(Monat.Tag1)=6,May!Monat.P5UeVM,IF(MONTH(Monat.Tag1)=7,June!Monat.P5UeVM,IF(MONTH(Monat.Tag1)=8,July!Monat.P5UeVM,IF(MONTH(Monat.Tag1)=9,August!Monat.P5UeVM,IF(MONTH(Monat.Tag1)=10,September!Monat.P5UeVM,IF(MONTH(Monat.Tag1)=11,October!Monat.P5UeVM,IF(MONTH(Monat.Tag1)=12,November!Monat.P5UeVM,"")))))))))))),"")</f>
        <v>0</v>
      </c>
      <c r="AM101" s="209"/>
      <c r="AN101" s="246">
        <f t="shared" ca="1" si="37"/>
        <v>0</v>
      </c>
      <c r="AO101" s="208"/>
      <c r="AP101" s="208"/>
      <c r="AQ101" s="119"/>
    </row>
    <row r="102" spans="1:43" s="38" customFormat="1" ht="15" hidden="1" customHeight="1" outlineLevel="1" x14ac:dyDescent="0.2">
      <c r="A102" s="215" t="str">
        <f t="shared" ca="1" si="36"/>
        <v/>
      </c>
      <c r="B102" s="40"/>
      <c r="C102" s="40"/>
      <c r="D102" s="40"/>
      <c r="E102" s="27"/>
      <c r="F102" s="40"/>
      <c r="G102" s="40"/>
      <c r="H102" s="40"/>
      <c r="I102" s="40"/>
      <c r="J102" s="27"/>
      <c r="K102" s="40"/>
      <c r="L102" s="27"/>
      <c r="M102" s="40"/>
      <c r="N102" s="40"/>
      <c r="O102" s="40"/>
      <c r="P102" s="40"/>
      <c r="Q102" s="27"/>
      <c r="R102" s="40"/>
      <c r="S102" s="27"/>
      <c r="T102" s="27"/>
      <c r="U102" s="40"/>
      <c r="V102" s="40"/>
      <c r="W102" s="40"/>
      <c r="X102" s="27"/>
      <c r="Y102" s="40"/>
      <c r="Z102" s="39"/>
      <c r="AA102" s="40"/>
      <c r="AB102" s="40"/>
      <c r="AC102" s="40"/>
      <c r="AD102" s="40"/>
      <c r="AE102" s="27"/>
      <c r="AF102" s="40"/>
      <c r="AG102" s="205" t="str">
        <f t="shared" ca="1" si="34"/>
        <v/>
      </c>
      <c r="AH102" s="286"/>
      <c r="AI102" s="238">
        <f t="shared" si="38"/>
        <v>0</v>
      </c>
      <c r="AJ102" s="261"/>
      <c r="AK102" s="224"/>
      <c r="AL102" s="245">
        <f ca="1">IF(EB.Anwendung&lt;&gt;"",IF(MONTH(Monat.Tag1)=1,0,IF(MONTH(Monat.Tag1)=2,January!Monat.P6UeVM,IF(MONTH(Monat.Tag1)=3,February!Monat.P6UeVM,IF(MONTH(Monat.Tag1)=4,March!Monat.P6UeVM,IF(MONTH(Monat.Tag1)=5,April!Monat.P6UeVM,IF(MONTH(Monat.Tag1)=6,May!Monat.P6UeVM,IF(MONTH(Monat.Tag1)=7,June!Monat.P6UeVM,IF(MONTH(Monat.Tag1)=8,July!Monat.P6UeVM,IF(MONTH(Monat.Tag1)=9,August!Monat.P6UeVM,IF(MONTH(Monat.Tag1)=10,September!Monat.P6UeVM,IF(MONTH(Monat.Tag1)=11,October!Monat.P6UeVM,IF(MONTH(Monat.Tag1)=12,November!Monat.P6UeVM,"")))))))))))),"")</f>
        <v>0</v>
      </c>
      <c r="AM102" s="209"/>
      <c r="AN102" s="246">
        <f t="shared" ca="1" si="37"/>
        <v>0</v>
      </c>
      <c r="AO102" s="208"/>
      <c r="AP102" s="208"/>
      <c r="AQ102" s="119"/>
    </row>
    <row r="103" spans="1:43" s="38" customFormat="1" ht="15" hidden="1" customHeight="1" outlineLevel="1" x14ac:dyDescent="0.2">
      <c r="A103" s="215" t="str">
        <f t="shared" ca="1" si="36"/>
        <v/>
      </c>
      <c r="B103" s="40"/>
      <c r="C103" s="40"/>
      <c r="D103" s="40"/>
      <c r="E103" s="27"/>
      <c r="F103" s="40"/>
      <c r="G103" s="40"/>
      <c r="H103" s="40"/>
      <c r="I103" s="40"/>
      <c r="J103" s="27"/>
      <c r="K103" s="40"/>
      <c r="L103" s="27"/>
      <c r="M103" s="40"/>
      <c r="N103" s="40"/>
      <c r="O103" s="40"/>
      <c r="P103" s="40"/>
      <c r="Q103" s="27"/>
      <c r="R103" s="40"/>
      <c r="S103" s="27"/>
      <c r="T103" s="27"/>
      <c r="U103" s="40"/>
      <c r="V103" s="40"/>
      <c r="W103" s="40"/>
      <c r="X103" s="27"/>
      <c r="Y103" s="40"/>
      <c r="Z103" s="39"/>
      <c r="AA103" s="40"/>
      <c r="AB103" s="40"/>
      <c r="AC103" s="40"/>
      <c r="AD103" s="40"/>
      <c r="AE103" s="27"/>
      <c r="AF103" s="40"/>
      <c r="AG103" s="205" t="str">
        <f ca="1">A103</f>
        <v/>
      </c>
      <c r="AH103" s="228"/>
      <c r="AI103" s="238">
        <f>SUM(B103:AF103)</f>
        <v>0</v>
      </c>
      <c r="AJ103" s="261"/>
      <c r="AK103" s="224"/>
      <c r="AL103" s="245">
        <f ca="1">IF(EB.Anwendung&lt;&gt;"",IF(MONTH(Monat.Tag1)=1,0,IF(MONTH(Monat.Tag1)=2,January!Monat.P7UeVM,IF(MONTH(Monat.Tag1)=3,February!Monat.P7UeVM,IF(MONTH(Monat.Tag1)=4,March!Monat.P7UeVM,IF(MONTH(Monat.Tag1)=5,April!Monat.P7UeVM,IF(MONTH(Monat.Tag1)=6,May!Monat.P7UeVM,IF(MONTH(Monat.Tag1)=7,June!Monat.P7UeVM,IF(MONTH(Monat.Tag1)=8,July!Monat.P7UeVM,IF(MONTH(Monat.Tag1)=9,August!Monat.P7UeVM,IF(MONTH(Monat.Tag1)=10,September!Monat.P7UeVM,IF(MONTH(Monat.Tag1)=11,October!Monat.P7UeVM,IF(MONTH(Monat.Tag1)=12,November!Monat.P7UeVM,"")))))))))))),"")</f>
        <v>0</v>
      </c>
      <c r="AM103" s="209"/>
      <c r="AN103" s="246">
        <f t="shared" ca="1" si="37"/>
        <v>0</v>
      </c>
      <c r="AO103" s="208"/>
      <c r="AP103" s="208"/>
      <c r="AQ103" s="119"/>
    </row>
    <row r="104" spans="1:43" s="38" customFormat="1" ht="15" hidden="1" customHeight="1" outlineLevel="1" x14ac:dyDescent="0.2">
      <c r="A104" s="215" t="str">
        <f t="shared" ca="1" si="36"/>
        <v/>
      </c>
      <c r="B104" s="40"/>
      <c r="C104" s="40"/>
      <c r="D104" s="40"/>
      <c r="E104" s="27"/>
      <c r="F104" s="40"/>
      <c r="G104" s="40"/>
      <c r="H104" s="40"/>
      <c r="I104" s="40"/>
      <c r="J104" s="27"/>
      <c r="K104" s="40"/>
      <c r="L104" s="27"/>
      <c r="M104" s="40"/>
      <c r="N104" s="40"/>
      <c r="O104" s="40"/>
      <c r="P104" s="40"/>
      <c r="Q104" s="27"/>
      <c r="R104" s="40"/>
      <c r="S104" s="27"/>
      <c r="T104" s="27"/>
      <c r="U104" s="40"/>
      <c r="V104" s="40"/>
      <c r="W104" s="40"/>
      <c r="X104" s="27"/>
      <c r="Y104" s="40"/>
      <c r="Z104" s="39"/>
      <c r="AA104" s="40"/>
      <c r="AB104" s="40"/>
      <c r="AC104" s="40"/>
      <c r="AD104" s="40"/>
      <c r="AE104" s="27"/>
      <c r="AF104" s="40"/>
      <c r="AG104" s="205" t="str">
        <f t="shared" ca="1" si="34"/>
        <v/>
      </c>
      <c r="AH104" s="233"/>
      <c r="AI104" s="238">
        <f t="shared" si="38"/>
        <v>0</v>
      </c>
      <c r="AJ104" s="261"/>
      <c r="AK104" s="224"/>
      <c r="AL104" s="245">
        <f ca="1">IF(EB.Anwendung&lt;&gt;"",IF(MONTH(Monat.Tag1)=1,0,IF(MONTH(Monat.Tag1)=2,January!Monat.P8UeVM,IF(MONTH(Monat.Tag1)=3,February!Monat.P8UeVM,IF(MONTH(Monat.Tag1)=4,March!Monat.P8UeVM,IF(MONTH(Monat.Tag1)=5,April!Monat.P8UeVM,IF(MONTH(Monat.Tag1)=6,May!Monat.P8UeVM,IF(MONTH(Monat.Tag1)=7,June!Monat.P8UeVM,IF(MONTH(Monat.Tag1)=8,July!Monat.P8UeVM,IF(MONTH(Monat.Tag1)=9,August!Monat.P8UeVM,IF(MONTH(Monat.Tag1)=10,September!Monat.P8UeVM,IF(MONTH(Monat.Tag1)=11,October!Monat.P8UeVM,IF(MONTH(Monat.Tag1)=12,November!Monat.P8UeVM,"")))))))))))),"")</f>
        <v>0</v>
      </c>
      <c r="AM104" s="209"/>
      <c r="AN104" s="246">
        <f t="shared" ca="1" si="37"/>
        <v>0</v>
      </c>
      <c r="AO104" s="208"/>
      <c r="AP104" s="208"/>
      <c r="AQ104" s="119"/>
    </row>
    <row r="105" spans="1:43" s="38" customFormat="1" ht="15" hidden="1" customHeight="1" outlineLevel="1" x14ac:dyDescent="0.2">
      <c r="A105" s="215" t="str">
        <f t="shared" ca="1" si="36"/>
        <v/>
      </c>
      <c r="B105" s="40"/>
      <c r="C105" s="40"/>
      <c r="D105" s="40"/>
      <c r="E105" s="27"/>
      <c r="F105" s="40"/>
      <c r="G105" s="40"/>
      <c r="H105" s="40"/>
      <c r="I105" s="40"/>
      <c r="J105" s="27"/>
      <c r="K105" s="40"/>
      <c r="L105" s="27"/>
      <c r="M105" s="40"/>
      <c r="N105" s="40"/>
      <c r="O105" s="40"/>
      <c r="P105" s="40"/>
      <c r="Q105" s="27"/>
      <c r="R105" s="40"/>
      <c r="S105" s="27"/>
      <c r="T105" s="27"/>
      <c r="U105" s="40"/>
      <c r="V105" s="40"/>
      <c r="W105" s="40"/>
      <c r="X105" s="27"/>
      <c r="Y105" s="40"/>
      <c r="Z105" s="39"/>
      <c r="AA105" s="40"/>
      <c r="AB105" s="40"/>
      <c r="AC105" s="40"/>
      <c r="AD105" s="40"/>
      <c r="AE105" s="27"/>
      <c r="AF105" s="40"/>
      <c r="AG105" s="205" t="str">
        <f t="shared" ca="1" si="34"/>
        <v/>
      </c>
      <c r="AH105" s="218"/>
      <c r="AI105" s="238">
        <f t="shared" si="38"/>
        <v>0</v>
      </c>
      <c r="AJ105" s="261"/>
      <c r="AK105" s="224"/>
      <c r="AL105" s="245">
        <f ca="1">IF(EB.Anwendung&lt;&gt;"",IF(MONTH(Monat.Tag1)=1,0,IF(MONTH(Monat.Tag1)=2,January!Monat.P9UeVM,IF(MONTH(Monat.Tag1)=3,February!Monat.P9UeVM,IF(MONTH(Monat.Tag1)=4,March!Monat.P9UeVM,IF(MONTH(Monat.Tag1)=5,April!Monat.P9UeVM,IF(MONTH(Monat.Tag1)=6,May!Monat.P9UeVM,IF(MONTH(Monat.Tag1)=7,June!Monat.P9UeVM,IF(MONTH(Monat.Tag1)=8,July!Monat.P9UeVM,IF(MONTH(Monat.Tag1)=9,August!Monat.P9UeVM,IF(MONTH(Monat.Tag1)=10,September!Monat.P9UeVM,IF(MONTH(Monat.Tag1)=11,October!Monat.P9UeVM,IF(MONTH(Monat.Tag1)=12,November!Monat.P9UeVM,"")))))))))))),"")</f>
        <v>0</v>
      </c>
      <c r="AM105" s="209"/>
      <c r="AN105" s="246">
        <f t="shared" ca="1" si="37"/>
        <v>0</v>
      </c>
      <c r="AO105" s="208"/>
      <c r="AP105" s="208"/>
      <c r="AQ105" s="119"/>
    </row>
    <row r="106" spans="1:43" s="38" customFormat="1" ht="15" hidden="1" customHeight="1" outlineLevel="1" x14ac:dyDescent="0.2">
      <c r="A106" s="215" t="str">
        <f t="shared" ca="1" si="36"/>
        <v/>
      </c>
      <c r="B106" s="40"/>
      <c r="C106" s="40"/>
      <c r="D106" s="40"/>
      <c r="E106" s="27"/>
      <c r="F106" s="40"/>
      <c r="G106" s="40"/>
      <c r="H106" s="40"/>
      <c r="I106" s="40"/>
      <c r="J106" s="27"/>
      <c r="K106" s="40"/>
      <c r="L106" s="27"/>
      <c r="M106" s="40"/>
      <c r="N106" s="40"/>
      <c r="O106" s="40"/>
      <c r="P106" s="40"/>
      <c r="Q106" s="27"/>
      <c r="R106" s="40"/>
      <c r="S106" s="27"/>
      <c r="T106" s="27"/>
      <c r="U106" s="40"/>
      <c r="V106" s="40"/>
      <c r="W106" s="40"/>
      <c r="X106" s="27"/>
      <c r="Y106" s="40"/>
      <c r="Z106" s="39"/>
      <c r="AA106" s="40"/>
      <c r="AB106" s="40"/>
      <c r="AC106" s="40"/>
      <c r="AD106" s="40"/>
      <c r="AE106" s="27"/>
      <c r="AF106" s="40"/>
      <c r="AG106" s="205" t="str">
        <f t="shared" ca="1" si="34"/>
        <v/>
      </c>
      <c r="AH106" s="218"/>
      <c r="AI106" s="238">
        <f t="shared" si="38"/>
        <v>0</v>
      </c>
      <c r="AJ106" s="261"/>
      <c r="AK106" s="224"/>
      <c r="AL106" s="245">
        <f ca="1">IF(EB.Anwendung&lt;&gt;"",IF(MONTH(Monat.Tag1)=1,0,IF(MONTH(Monat.Tag1)=2,January!Monat.P10UeVM,IF(MONTH(Monat.Tag1)=3,February!Monat.P10UeVM,IF(MONTH(Monat.Tag1)=4,March!Monat.P10UeVM,IF(MONTH(Monat.Tag1)=5,April!Monat.P10UeVM,IF(MONTH(Monat.Tag1)=6,May!Monat.P10UeVM,IF(MONTH(Monat.Tag1)=7,June!Monat.P10UeVM,IF(MONTH(Monat.Tag1)=8,July!Monat.P10UeVM,IF(MONTH(Monat.Tag1)=9,August!Monat.P10UeVM,IF(MONTH(Monat.Tag1)=10,September!Monat.P10UeVM,IF(MONTH(Monat.Tag1)=11,October!Monat.P10UeVM,IF(MONTH(Monat.Tag1)=12,November!Monat.P10UeVM,"")))))))))))),"")</f>
        <v>0</v>
      </c>
      <c r="AM106" s="209"/>
      <c r="AN106" s="246">
        <f t="shared" ca="1" si="37"/>
        <v>0</v>
      </c>
      <c r="AO106" s="208"/>
      <c r="AP106" s="208"/>
      <c r="AQ106" s="119"/>
    </row>
    <row r="107" spans="1:43" s="38" customFormat="1" ht="15" hidden="1" customHeight="1" outlineLevel="1" x14ac:dyDescent="0.2">
      <c r="A107" s="215" t="str">
        <f t="shared" ca="1" si="36"/>
        <v/>
      </c>
      <c r="B107" s="40"/>
      <c r="C107" s="40"/>
      <c r="D107" s="40"/>
      <c r="E107" s="27"/>
      <c r="F107" s="40"/>
      <c r="G107" s="40"/>
      <c r="H107" s="40"/>
      <c r="I107" s="40"/>
      <c r="J107" s="27"/>
      <c r="K107" s="40"/>
      <c r="L107" s="27"/>
      <c r="M107" s="40"/>
      <c r="N107" s="40"/>
      <c r="O107" s="40"/>
      <c r="P107" s="40"/>
      <c r="Q107" s="27"/>
      <c r="R107" s="40"/>
      <c r="S107" s="27"/>
      <c r="T107" s="27"/>
      <c r="U107" s="40"/>
      <c r="V107" s="40"/>
      <c r="W107" s="40"/>
      <c r="X107" s="27"/>
      <c r="Y107" s="40"/>
      <c r="Z107" s="39"/>
      <c r="AA107" s="40"/>
      <c r="AB107" s="40"/>
      <c r="AC107" s="40"/>
      <c r="AD107" s="40"/>
      <c r="AE107" s="27"/>
      <c r="AF107" s="40"/>
      <c r="AG107" s="205" t="str">
        <f ca="1">A107</f>
        <v/>
      </c>
      <c r="AH107" s="233"/>
      <c r="AI107" s="238">
        <f t="shared" si="38"/>
        <v>0</v>
      </c>
      <c r="AJ107" s="261"/>
      <c r="AK107" s="224"/>
      <c r="AL107" s="245">
        <f ca="1">IF(EB.Anwendung&lt;&gt;"",IF(MONTH(Monat.Tag1)=1,0,IF(MONTH(Monat.Tag1)=2,January!Monat.P11UeVM,IF(MONTH(Monat.Tag1)=3,February!Monat.P11UeVM,IF(MONTH(Monat.Tag1)=4,March!Monat.P11UeVM,IF(MONTH(Monat.Tag1)=5,April!Monat.P11UeVM,IF(MONTH(Monat.Tag1)=6,May!Monat.P11UeVM,IF(MONTH(Monat.Tag1)=7,June!Monat.P11UeVM,IF(MONTH(Monat.Tag1)=8,July!Monat.P11UeVM,IF(MONTH(Monat.Tag1)=9,August!Monat.P11UeVM,IF(MONTH(Monat.Tag1)=10,September!Monat.P11UeVM,IF(MONTH(Monat.Tag1)=11,October!Monat.P11UeVM,IF(MONTH(Monat.Tag1)=12,November!Monat.P11UeVM,"")))))))))))),"")</f>
        <v>0</v>
      </c>
      <c r="AM107" s="209"/>
      <c r="AN107" s="246">
        <f t="shared" ca="1" si="37"/>
        <v>0</v>
      </c>
      <c r="AO107" s="287"/>
      <c r="AP107" s="287"/>
      <c r="AQ107" s="119"/>
    </row>
    <row r="108" spans="1:43" s="49" customFormat="1" ht="15" hidden="1" customHeight="1" outlineLevel="1" x14ac:dyDescent="0.2">
      <c r="A108" s="215" t="str">
        <f t="shared" ca="1" si="36"/>
        <v/>
      </c>
      <c r="B108" s="40"/>
      <c r="C108" s="40"/>
      <c r="D108" s="40"/>
      <c r="E108" s="27"/>
      <c r="F108" s="40"/>
      <c r="G108" s="40"/>
      <c r="H108" s="40"/>
      <c r="I108" s="40"/>
      <c r="J108" s="27"/>
      <c r="K108" s="40"/>
      <c r="L108" s="27"/>
      <c r="M108" s="40"/>
      <c r="N108" s="40"/>
      <c r="O108" s="40"/>
      <c r="P108" s="40"/>
      <c r="Q108" s="27"/>
      <c r="R108" s="40"/>
      <c r="S108" s="27"/>
      <c r="T108" s="27"/>
      <c r="U108" s="40"/>
      <c r="V108" s="40"/>
      <c r="W108" s="40"/>
      <c r="X108" s="27"/>
      <c r="Y108" s="40"/>
      <c r="Z108" s="39"/>
      <c r="AA108" s="40"/>
      <c r="AB108" s="40"/>
      <c r="AC108" s="40"/>
      <c r="AD108" s="40"/>
      <c r="AE108" s="27"/>
      <c r="AF108" s="40"/>
      <c r="AG108" s="205" t="str">
        <f t="shared" ca="1" si="34"/>
        <v/>
      </c>
      <c r="AH108" s="233"/>
      <c r="AI108" s="238">
        <f t="shared" si="38"/>
        <v>0</v>
      </c>
      <c r="AJ108" s="261"/>
      <c r="AK108" s="224"/>
      <c r="AL108" s="245">
        <f ca="1">IF(EB.Anwendung&lt;&gt;"",IF(MONTH(Monat.Tag1)=1,0,IF(MONTH(Monat.Tag1)=2,January!Monat.P12UeVM,IF(MONTH(Monat.Tag1)=3,February!Monat.P12UeVM,IF(MONTH(Monat.Tag1)=4,March!Monat.P12UeVM,IF(MONTH(Monat.Tag1)=5,April!Monat.P12UeVM,IF(MONTH(Monat.Tag1)=6,May!Monat.P12UeVM,IF(MONTH(Monat.Tag1)=7,June!Monat.P12UeVM,IF(MONTH(Monat.Tag1)=8,July!Monat.P12UeVM,IF(MONTH(Monat.Tag1)=9,August!Monat.P12UeVM,IF(MONTH(Monat.Tag1)=10,September!Monat.P12UeVM,IF(MONTH(Monat.Tag1)=11,October!Monat.P12UeVM,IF(MONTH(Monat.Tag1)=12,November!Monat.P12UeVM,"")))))))))))),"")</f>
        <v>0</v>
      </c>
      <c r="AM108" s="209"/>
      <c r="AN108" s="246">
        <f t="shared" ca="1" si="37"/>
        <v>0</v>
      </c>
      <c r="AO108" s="287"/>
      <c r="AP108" s="287"/>
      <c r="AQ108" s="288"/>
    </row>
    <row r="109" spans="1:43" s="49" customFormat="1" ht="15" hidden="1" customHeight="1" outlineLevel="1" x14ac:dyDescent="0.2">
      <c r="A109" s="215" t="str">
        <f t="shared" ca="1" si="36"/>
        <v/>
      </c>
      <c r="B109" s="40"/>
      <c r="C109" s="40"/>
      <c r="D109" s="40"/>
      <c r="E109" s="27"/>
      <c r="F109" s="40"/>
      <c r="G109" s="40"/>
      <c r="H109" s="40"/>
      <c r="I109" s="40"/>
      <c r="J109" s="27"/>
      <c r="K109" s="40"/>
      <c r="L109" s="27"/>
      <c r="M109" s="40"/>
      <c r="N109" s="40"/>
      <c r="O109" s="40"/>
      <c r="P109" s="40"/>
      <c r="Q109" s="27"/>
      <c r="R109" s="40"/>
      <c r="S109" s="27"/>
      <c r="T109" s="27"/>
      <c r="U109" s="40"/>
      <c r="V109" s="40"/>
      <c r="W109" s="40"/>
      <c r="X109" s="27"/>
      <c r="Y109" s="40"/>
      <c r="Z109" s="39"/>
      <c r="AA109" s="40"/>
      <c r="AB109" s="40"/>
      <c r="AC109" s="40"/>
      <c r="AD109" s="40"/>
      <c r="AE109" s="27"/>
      <c r="AF109" s="40"/>
      <c r="AG109" s="205" t="str">
        <f t="shared" ca="1" si="34"/>
        <v/>
      </c>
      <c r="AH109" s="218"/>
      <c r="AI109" s="238">
        <f t="shared" si="38"/>
        <v>0</v>
      </c>
      <c r="AJ109" s="261"/>
      <c r="AK109" s="224"/>
      <c r="AL109" s="245">
        <f ca="1">IF(EB.Anwendung&lt;&gt;"",IF(MONTH(Monat.Tag1)=1,0,IF(MONTH(Monat.Tag1)=2,January!Monat.P13UeVM,IF(MONTH(Monat.Tag1)=3,February!Monat.P13UeVM,IF(MONTH(Monat.Tag1)=4,March!Monat.P13UeVM,IF(MONTH(Monat.Tag1)=5,April!Monat.P13UeVM,IF(MONTH(Monat.Tag1)=6,May!Monat.P13UeVM,IF(MONTH(Monat.Tag1)=7,June!Monat.P13UeVM,IF(MONTH(Monat.Tag1)=8,July!Monat.P13UeVM,IF(MONTH(Monat.Tag1)=9,August!Monat.P13UeVM,IF(MONTH(Monat.Tag1)=10,September!Monat.P13UeVM,IF(MONTH(Monat.Tag1)=11,October!Monat.P13UeVM,IF(MONTH(Monat.Tag1)=12,November!Monat.P13UeVM,"")))))))))))),"")</f>
        <v>0</v>
      </c>
      <c r="AM109" s="209"/>
      <c r="AN109" s="246">
        <f t="shared" ca="1" si="37"/>
        <v>0</v>
      </c>
      <c r="AO109" s="287"/>
      <c r="AP109" s="287"/>
      <c r="AQ109" s="288"/>
    </row>
    <row r="110" spans="1:43" ht="15" hidden="1" customHeight="1" outlineLevel="1" x14ac:dyDescent="0.2">
      <c r="A110" s="215" t="str">
        <f t="shared" ca="1" si="36"/>
        <v/>
      </c>
      <c r="B110" s="40"/>
      <c r="C110" s="40"/>
      <c r="D110" s="40"/>
      <c r="E110" s="27"/>
      <c r="F110" s="40"/>
      <c r="G110" s="40"/>
      <c r="H110" s="40"/>
      <c r="I110" s="40"/>
      <c r="J110" s="27"/>
      <c r="K110" s="40"/>
      <c r="L110" s="27"/>
      <c r="M110" s="40"/>
      <c r="N110" s="40"/>
      <c r="O110" s="40"/>
      <c r="P110" s="40"/>
      <c r="Q110" s="27"/>
      <c r="R110" s="40"/>
      <c r="S110" s="27"/>
      <c r="T110" s="27"/>
      <c r="U110" s="40"/>
      <c r="V110" s="40"/>
      <c r="W110" s="40"/>
      <c r="X110" s="27"/>
      <c r="Y110" s="40"/>
      <c r="Z110" s="39"/>
      <c r="AA110" s="40"/>
      <c r="AB110" s="40"/>
      <c r="AC110" s="40"/>
      <c r="AD110" s="40"/>
      <c r="AE110" s="27"/>
      <c r="AF110" s="40"/>
      <c r="AG110" s="205" t="str">
        <f t="shared" ca="1" si="34"/>
        <v/>
      </c>
      <c r="AH110" s="218"/>
      <c r="AI110" s="238">
        <f t="shared" si="38"/>
        <v>0</v>
      </c>
      <c r="AJ110" s="261"/>
      <c r="AK110" s="224"/>
      <c r="AL110" s="245">
        <f ca="1">IF(EB.Anwendung&lt;&gt;"",IF(MONTH(Monat.Tag1)=1,0,IF(MONTH(Monat.Tag1)=2,January!Monat.P14UeVM,IF(MONTH(Monat.Tag1)=3,February!Monat.P14UeVM,IF(MONTH(Monat.Tag1)=4,March!Monat.P14UeVM,IF(MONTH(Monat.Tag1)=5,April!Monat.P14UeVM,IF(MONTH(Monat.Tag1)=6,May!Monat.P14UeVM,IF(MONTH(Monat.Tag1)=7,June!Monat.P14UeVM,IF(MONTH(Monat.Tag1)=8,July!Monat.P14UeVM,IF(MONTH(Monat.Tag1)=9,August!Monat.P14UeVM,IF(MONTH(Monat.Tag1)=10,September!Monat.P14UeVM,IF(MONTH(Monat.Tag1)=11,October!Monat.P14UeVM,IF(MONTH(Monat.Tag1)=12,November!Monat.P14UeVM,"")))))))))))),"")</f>
        <v>0</v>
      </c>
      <c r="AM110" s="209"/>
      <c r="AN110" s="246">
        <f t="shared" ca="1" si="37"/>
        <v>0</v>
      </c>
      <c r="AO110" s="287"/>
      <c r="AP110" s="287"/>
      <c r="AQ110" s="123"/>
    </row>
    <row r="111" spans="1:43" ht="15" hidden="1" customHeight="1" outlineLevel="1" x14ac:dyDescent="0.2">
      <c r="A111" s="215" t="str">
        <f t="shared" ca="1" si="36"/>
        <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7"/>
      <c r="AA111" s="40"/>
      <c r="AB111" s="40"/>
      <c r="AC111" s="40"/>
      <c r="AD111" s="40"/>
      <c r="AE111" s="40"/>
      <c r="AF111" s="40"/>
      <c r="AG111" s="205" t="str">
        <f t="shared" ca="1" si="34"/>
        <v/>
      </c>
      <c r="AH111" s="218"/>
      <c r="AI111" s="238">
        <f t="shared" si="38"/>
        <v>0</v>
      </c>
      <c r="AJ111" s="261"/>
      <c r="AK111" s="224"/>
      <c r="AL111" s="245">
        <f ca="1">IF(EB.Anwendung&lt;&gt;"",IF(MONTH(Monat.Tag1)=1,0,IF(MONTH(Monat.Tag1)=2,January!Monat.P15UeVM,IF(MONTH(Monat.Tag1)=3,February!Monat.P15UeVM,IF(MONTH(Monat.Tag1)=4,March!Monat.P15UeVM,IF(MONTH(Monat.Tag1)=5,April!Monat.P15UeVM,IF(MONTH(Monat.Tag1)=6,May!Monat.P15UeVM,IF(MONTH(Monat.Tag1)=7,June!Monat.P15UeVM,IF(MONTH(Monat.Tag1)=8,July!Monat.P15UeVM,IF(MONTH(Monat.Tag1)=9,August!Monat.P15UeVM,IF(MONTH(Monat.Tag1)=10,September!Monat.P15UeVM,IF(MONTH(Monat.Tag1)=11,October!Monat.P15UeVM,IF(MONTH(Monat.Tag1)=12,November!Monat.P15UeVM,"")))))))))))),"")</f>
        <v>0</v>
      </c>
      <c r="AM111" s="209"/>
      <c r="AN111" s="246">
        <f t="shared" ca="1" si="37"/>
        <v>0</v>
      </c>
      <c r="AO111" s="287"/>
      <c r="AP111" s="287"/>
      <c r="AQ111" s="123"/>
    </row>
    <row r="112" spans="1:43" ht="15" customHeight="1" collapsed="1" x14ac:dyDescent="0.2">
      <c r="A112" s="215" t="s">
        <v>168</v>
      </c>
      <c r="B112" s="236">
        <f>SUM(B97:B111)</f>
        <v>0</v>
      </c>
      <c r="C112" s="236">
        <f t="shared" ref="C112:AF112" si="39">SUM(C97:C111)</f>
        <v>0</v>
      </c>
      <c r="D112" s="236">
        <f t="shared" si="39"/>
        <v>0</v>
      </c>
      <c r="E112" s="236">
        <f t="shared" si="39"/>
        <v>0</v>
      </c>
      <c r="F112" s="236">
        <f t="shared" si="39"/>
        <v>0</v>
      </c>
      <c r="G112" s="236">
        <f t="shared" si="39"/>
        <v>0</v>
      </c>
      <c r="H112" s="236">
        <f t="shared" si="39"/>
        <v>0</v>
      </c>
      <c r="I112" s="236">
        <f t="shared" si="39"/>
        <v>0</v>
      </c>
      <c r="J112" s="236">
        <f t="shared" si="39"/>
        <v>0</v>
      </c>
      <c r="K112" s="236">
        <f t="shared" si="39"/>
        <v>0</v>
      </c>
      <c r="L112" s="236">
        <f t="shared" si="39"/>
        <v>0</v>
      </c>
      <c r="M112" s="236">
        <f t="shared" si="39"/>
        <v>0</v>
      </c>
      <c r="N112" s="236">
        <f t="shared" si="39"/>
        <v>0</v>
      </c>
      <c r="O112" s="236">
        <f t="shared" si="39"/>
        <v>0</v>
      </c>
      <c r="P112" s="236">
        <f t="shared" si="39"/>
        <v>0</v>
      </c>
      <c r="Q112" s="236">
        <f t="shared" si="39"/>
        <v>0</v>
      </c>
      <c r="R112" s="236">
        <f t="shared" si="39"/>
        <v>0</v>
      </c>
      <c r="S112" s="236">
        <f t="shared" si="39"/>
        <v>0</v>
      </c>
      <c r="T112" s="236">
        <f t="shared" si="39"/>
        <v>0</v>
      </c>
      <c r="U112" s="236">
        <f t="shared" si="39"/>
        <v>0</v>
      </c>
      <c r="V112" s="236">
        <f t="shared" si="39"/>
        <v>0</v>
      </c>
      <c r="W112" s="236">
        <f t="shared" si="39"/>
        <v>0</v>
      </c>
      <c r="X112" s="236">
        <f t="shared" si="39"/>
        <v>0</v>
      </c>
      <c r="Y112" s="236">
        <f t="shared" si="39"/>
        <v>0</v>
      </c>
      <c r="Z112" s="236">
        <f t="shared" si="39"/>
        <v>0</v>
      </c>
      <c r="AA112" s="236">
        <f t="shared" si="39"/>
        <v>0</v>
      </c>
      <c r="AB112" s="236">
        <f t="shared" si="39"/>
        <v>0</v>
      </c>
      <c r="AC112" s="236">
        <f t="shared" si="39"/>
        <v>0</v>
      </c>
      <c r="AD112" s="236">
        <f t="shared" si="39"/>
        <v>0</v>
      </c>
      <c r="AE112" s="236">
        <f t="shared" si="39"/>
        <v>0</v>
      </c>
      <c r="AF112" s="236">
        <f t="shared" si="39"/>
        <v>0</v>
      </c>
      <c r="AG112" s="217" t="str">
        <f t="shared" si="34"/>
        <v>Hours worked for projects</v>
      </c>
      <c r="AH112" s="218"/>
      <c r="AI112" s="238">
        <f t="shared" si="38"/>
        <v>0</v>
      </c>
      <c r="AJ112" s="261"/>
      <c r="AK112" s="224"/>
      <c r="AL112" s="245">
        <f ca="1">IF(EB.Anwendung&lt;&gt;"",IF(MONTH(Monat.Tag1)=1,0,IF(MONTH(Monat.Tag1)=2,January!Monat.PTotalUeVM,IF(MONTH(Monat.Tag1)=3,February!Monat.PTotalUeVM,IF(MONTH(Monat.Tag1)=4,March!Monat.PTotalUeVM,IF(MONTH(Monat.Tag1)=5,April!Monat.PTotalUeVM,IF(MONTH(Monat.Tag1)=6,May!Monat.PTotalUeVM,IF(MONTH(Monat.Tag1)=7,June!Monat.PTotalUeVM,IF(MONTH(Monat.Tag1)=8,July!Monat.PTotalUeVM,IF(MONTH(Monat.Tag1)=9,August!Monat.PTotalUeVM,IF(MONTH(Monat.Tag1)=10,September!Monat.PTotalUeVM,IF(MONTH(Monat.Tag1)=11,October!Monat.PTotalUeVM,IF(MONTH(Monat.Tag1)=12,November!Monat.PTotalUeVM,"")))))))))))),"")</f>
        <v>0</v>
      </c>
      <c r="AM112" s="209"/>
      <c r="AN112" s="246">
        <f t="shared" ca="1" si="37"/>
        <v>0</v>
      </c>
      <c r="AO112" s="289"/>
      <c r="AP112" s="289"/>
      <c r="AQ112" s="123"/>
    </row>
    <row r="113" spans="1:43" s="38" customFormat="1" ht="11.25" customHeight="1" x14ac:dyDescent="0.2">
      <c r="A113" s="290"/>
      <c r="B113" s="226"/>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91"/>
      <c r="AH113" s="286"/>
      <c r="AI113" s="226"/>
      <c r="AJ113" s="292"/>
      <c r="AK113" s="226"/>
      <c r="AL113" s="226"/>
      <c r="AM113" s="226"/>
      <c r="AN113" s="130"/>
      <c r="AO113" s="226"/>
      <c r="AP113" s="226"/>
      <c r="AQ113" s="119"/>
    </row>
    <row r="114" spans="1:43" s="38" customFormat="1" ht="15" hidden="1" customHeight="1" outlineLevel="1" x14ac:dyDescent="0.2">
      <c r="A114" s="215" t="s">
        <v>225</v>
      </c>
      <c r="B114" s="241">
        <f t="shared" ref="B114:AF114" si="40">ROUND(((B23+B45+B91)-SUMPRODUCT((B97:B111)*(EB.Projektart.Bereich=6)))*1440,0)/1440</f>
        <v>0</v>
      </c>
      <c r="C114" s="241">
        <f t="shared" si="40"/>
        <v>0</v>
      </c>
      <c r="D114" s="241">
        <f t="shared" si="40"/>
        <v>0</v>
      </c>
      <c r="E114" s="241">
        <f t="shared" si="40"/>
        <v>0</v>
      </c>
      <c r="F114" s="241">
        <f t="shared" si="40"/>
        <v>0</v>
      </c>
      <c r="G114" s="241">
        <f t="shared" si="40"/>
        <v>0</v>
      </c>
      <c r="H114" s="241">
        <f t="shared" si="40"/>
        <v>0</v>
      </c>
      <c r="I114" s="241">
        <f t="shared" si="40"/>
        <v>0</v>
      </c>
      <c r="J114" s="241">
        <f t="shared" si="40"/>
        <v>0</v>
      </c>
      <c r="K114" s="241">
        <f t="shared" si="40"/>
        <v>0</v>
      </c>
      <c r="L114" s="241">
        <f t="shared" si="40"/>
        <v>0</v>
      </c>
      <c r="M114" s="241">
        <f t="shared" si="40"/>
        <v>0</v>
      </c>
      <c r="N114" s="241">
        <f t="shared" si="40"/>
        <v>0</v>
      </c>
      <c r="O114" s="241">
        <f t="shared" si="40"/>
        <v>0</v>
      </c>
      <c r="P114" s="241">
        <f t="shared" si="40"/>
        <v>0</v>
      </c>
      <c r="Q114" s="241">
        <f t="shared" si="40"/>
        <v>0</v>
      </c>
      <c r="R114" s="241">
        <f t="shared" si="40"/>
        <v>0</v>
      </c>
      <c r="S114" s="241">
        <f t="shared" si="40"/>
        <v>0</v>
      </c>
      <c r="T114" s="241">
        <f t="shared" si="40"/>
        <v>0</v>
      </c>
      <c r="U114" s="241">
        <f t="shared" si="40"/>
        <v>0</v>
      </c>
      <c r="V114" s="241">
        <f t="shared" si="40"/>
        <v>0</v>
      </c>
      <c r="W114" s="241">
        <f t="shared" si="40"/>
        <v>0</v>
      </c>
      <c r="X114" s="241">
        <f t="shared" si="40"/>
        <v>0</v>
      </c>
      <c r="Y114" s="241">
        <f t="shared" si="40"/>
        <v>0</v>
      </c>
      <c r="Z114" s="241">
        <f t="shared" si="40"/>
        <v>0</v>
      </c>
      <c r="AA114" s="241">
        <f t="shared" si="40"/>
        <v>0</v>
      </c>
      <c r="AB114" s="241">
        <f t="shared" si="40"/>
        <v>0</v>
      </c>
      <c r="AC114" s="241">
        <f t="shared" si="40"/>
        <v>0</v>
      </c>
      <c r="AD114" s="241">
        <f t="shared" si="40"/>
        <v>0</v>
      </c>
      <c r="AE114" s="241">
        <f t="shared" si="40"/>
        <v>0</v>
      </c>
      <c r="AF114" s="241">
        <f t="shared" si="40"/>
        <v>0</v>
      </c>
      <c r="AG114" s="217" t="str">
        <f t="shared" ref="AG114" si="41">A114</f>
        <v>Difference WH-Project type 6</v>
      </c>
      <c r="AH114" s="228"/>
      <c r="AI114" s="238">
        <f>SUM(B114:AF114)</f>
        <v>0</v>
      </c>
      <c r="AJ114" s="261"/>
      <c r="AK114" s="262"/>
      <c r="AL114" s="245">
        <f ca="1">IF(EB.Anwendung&lt;&gt;"",IF(MONTH(Monat.Tag1)=1,0,IF(MONTH(Monat.Tag1)=2,January!Monat.PDiffUeVM,IF(MONTH(Monat.Tag1)=3,February!Monat.PDiffUeVM,IF(MONTH(Monat.Tag1)=4,March!Monat.PDiffUeVM,IF(MONTH(Monat.Tag1)=5,April!Monat.PDiffUeVM,IF(MONTH(Monat.Tag1)=6,May!Monat.PDiffUeVM,IF(MONTH(Monat.Tag1)=7,June!Monat.PDiffUeVM,IF(MONTH(Monat.Tag1)=8,July!Monat.PDiffUeVM,IF(MONTH(Monat.Tag1)=9,August!Monat.PDiffUeVM,IF(MONTH(Monat.Tag1)=10,September!Monat.PDiffUeVM,IF(MONTH(Monat.Tag1)=11,October!Monat.PDiffUeVM,IF(MONTH(Monat.Tag1)=12,November!Monat.PDiffUeVM,"")))))))))))),"")</f>
        <v>0</v>
      </c>
      <c r="AM114" s="262"/>
      <c r="AN114" s="246">
        <f ca="1">AI114+AL114</f>
        <v>0</v>
      </c>
      <c r="AO114" s="262"/>
      <c r="AP114" s="262"/>
      <c r="AQ114" s="119"/>
    </row>
    <row r="115" spans="1:43" ht="11.25" hidden="1" customHeight="1" outlineLevel="1" x14ac:dyDescent="0.2">
      <c r="A115" s="123"/>
      <c r="B115" s="293"/>
      <c r="C115" s="293"/>
      <c r="D115" s="293"/>
      <c r="E115" s="293"/>
      <c r="F115" s="293"/>
      <c r="G115" s="293"/>
      <c r="H115" s="293"/>
      <c r="I115" s="293"/>
      <c r="J115" s="294"/>
      <c r="K115" s="293"/>
      <c r="L115" s="293"/>
      <c r="M115" s="293"/>
      <c r="N115" s="293"/>
      <c r="O115" s="293"/>
      <c r="P115" s="293"/>
      <c r="Q115" s="293"/>
      <c r="R115" s="293"/>
      <c r="S115" s="293"/>
      <c r="T115" s="293"/>
      <c r="U115" s="293"/>
      <c r="V115" s="293"/>
      <c r="W115" s="293"/>
      <c r="X115" s="293"/>
      <c r="Y115" s="293"/>
      <c r="Z115" s="293"/>
      <c r="AA115" s="293"/>
      <c r="AB115" s="293"/>
      <c r="AC115" s="293"/>
      <c r="AD115" s="293"/>
      <c r="AE115" s="293"/>
      <c r="AF115" s="293"/>
      <c r="AG115" s="295"/>
      <c r="AH115" s="296"/>
      <c r="AI115" s="123"/>
      <c r="AJ115" s="123"/>
      <c r="AK115" s="123"/>
      <c r="AL115" s="123"/>
      <c r="AM115" s="123"/>
      <c r="AN115" s="297"/>
      <c r="AO115" s="123"/>
      <c r="AP115" s="123"/>
      <c r="AQ115" s="123"/>
    </row>
    <row r="116" spans="1:43" ht="11.25" customHeight="1" collapsed="1" x14ac:dyDescent="0.2">
      <c r="A116" s="123"/>
      <c r="B116" s="293"/>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293"/>
      <c r="AA116" s="293"/>
      <c r="AB116" s="293"/>
      <c r="AC116" s="293"/>
      <c r="AD116" s="293"/>
      <c r="AE116" s="293"/>
      <c r="AF116" s="293"/>
      <c r="AG116" s="295"/>
      <c r="AH116" s="296"/>
      <c r="AI116" s="123"/>
      <c r="AJ116" s="123"/>
      <c r="AK116" s="123"/>
      <c r="AL116" s="123"/>
      <c r="AM116" s="123"/>
      <c r="AN116" s="297"/>
      <c r="AO116" s="123"/>
      <c r="AP116" s="123"/>
      <c r="AQ116" s="123"/>
    </row>
    <row r="117" spans="1:43" ht="12" customHeight="1" x14ac:dyDescent="0.2">
      <c r="A117" s="123"/>
      <c r="B117" s="490" t="s">
        <v>226</v>
      </c>
      <c r="C117" s="490"/>
      <c r="D117" s="490"/>
      <c r="E117" s="490"/>
      <c r="F117" s="490"/>
      <c r="G117" s="490"/>
      <c r="H117" s="490"/>
      <c r="I117" s="490"/>
      <c r="J117" s="490"/>
      <c r="K117" s="490"/>
      <c r="L117" s="490"/>
      <c r="M117" s="490"/>
      <c r="N117" s="490"/>
      <c r="O117" s="490"/>
      <c r="P117" s="490"/>
      <c r="Q117" s="490"/>
      <c r="R117" s="298"/>
      <c r="S117" s="298"/>
      <c r="T117" s="298"/>
      <c r="U117" s="298"/>
      <c r="V117" s="298"/>
      <c r="W117" s="298"/>
      <c r="X117" s="298"/>
      <c r="Y117" s="298"/>
      <c r="Z117" s="298"/>
      <c r="AA117" s="298"/>
      <c r="AB117" s="298"/>
      <c r="AC117" s="298"/>
      <c r="AD117" s="298"/>
      <c r="AE117" s="298"/>
      <c r="AF117" s="298"/>
      <c r="AG117" s="299"/>
      <c r="AH117" s="300"/>
      <c r="AI117" s="298"/>
      <c r="AJ117" s="298"/>
      <c r="AK117" s="298"/>
      <c r="AL117" s="298"/>
      <c r="AM117" s="298"/>
      <c r="AN117" s="301"/>
      <c r="AO117" s="288"/>
      <c r="AP117" s="288"/>
      <c r="AQ117" s="123"/>
    </row>
    <row r="118" spans="1:43" ht="11.25" customHeight="1" x14ac:dyDescent="0.2">
      <c r="A118" s="302"/>
      <c r="B118" s="302"/>
      <c r="C118" s="302"/>
      <c r="D118" s="302"/>
      <c r="E118" s="302"/>
      <c r="F118" s="302"/>
      <c r="G118" s="302"/>
      <c r="H118" s="302"/>
      <c r="I118" s="302"/>
      <c r="J118" s="302"/>
      <c r="K118" s="302"/>
      <c r="L118" s="302"/>
      <c r="M118" s="298"/>
      <c r="N118" s="298"/>
      <c r="O118" s="298"/>
      <c r="P118" s="298"/>
      <c r="Q118" s="298"/>
      <c r="R118" s="298"/>
      <c r="S118" s="298"/>
      <c r="T118" s="298"/>
      <c r="U118" s="298"/>
      <c r="V118" s="298"/>
      <c r="W118" s="298"/>
      <c r="X118" s="298"/>
      <c r="Y118" s="298"/>
      <c r="Z118" s="298"/>
      <c r="AA118" s="298"/>
      <c r="AB118" s="298"/>
      <c r="AC118" s="298"/>
      <c r="AD118" s="298"/>
      <c r="AE118" s="298"/>
      <c r="AF118" s="298"/>
      <c r="AG118" s="298"/>
      <c r="AH118" s="298"/>
      <c r="AI118" s="298"/>
      <c r="AJ118" s="298"/>
      <c r="AK118" s="298"/>
      <c r="AL118" s="298"/>
      <c r="AM118" s="298"/>
      <c r="AN118" s="298"/>
      <c r="AO118" s="298"/>
      <c r="AP118" s="298"/>
      <c r="AQ118" s="123"/>
    </row>
    <row r="119" spans="1:43" ht="39" customHeight="1" x14ac:dyDescent="0.2">
      <c r="A119" s="135" t="s">
        <v>227</v>
      </c>
      <c r="B119" s="491"/>
      <c r="C119" s="491"/>
      <c r="D119" s="491"/>
      <c r="E119" s="491"/>
      <c r="F119" s="491"/>
      <c r="G119" s="491"/>
      <c r="H119" s="491"/>
      <c r="I119" s="491"/>
      <c r="J119" s="491"/>
      <c r="K119" s="491"/>
      <c r="L119" s="491"/>
      <c r="M119" s="491"/>
      <c r="N119" s="491"/>
      <c r="O119" s="491"/>
      <c r="P119" s="491"/>
      <c r="Q119" s="491"/>
      <c r="R119" s="298"/>
      <c r="S119" s="298"/>
      <c r="T119" s="298"/>
      <c r="U119" s="298"/>
      <c r="V119" s="298"/>
      <c r="W119" s="298"/>
      <c r="X119" s="298"/>
      <c r="Y119" s="492"/>
      <c r="Z119" s="492"/>
      <c r="AA119" s="492"/>
      <c r="AB119" s="492"/>
      <c r="AC119" s="492"/>
      <c r="AD119" s="492"/>
      <c r="AE119" s="492"/>
      <c r="AF119" s="492"/>
      <c r="AG119" s="494" t="str">
        <f ca="1">IF(AG67&lt;&gt;Monat.KomAZText,AG67 &amp; CHAR(10),"") &amp;
IF(AG84&lt;&gt;Monat.FerienText,AG84,"")</f>
        <v/>
      </c>
      <c r="AH119" s="494"/>
      <c r="AI119" s="494"/>
      <c r="AJ119" s="494"/>
      <c r="AK119" s="494"/>
      <c r="AL119" s="494"/>
      <c r="AM119" s="494"/>
      <c r="AN119" s="494"/>
      <c r="AO119" s="494"/>
      <c r="AP119" s="494"/>
      <c r="AQ119" s="123"/>
    </row>
    <row r="120" spans="1:43" ht="12" customHeight="1" x14ac:dyDescent="0.2">
      <c r="A120" s="442" t="s">
        <v>228</v>
      </c>
      <c r="B120" s="495"/>
      <c r="C120" s="495"/>
      <c r="D120" s="495"/>
      <c r="E120" s="495"/>
      <c r="F120" s="495"/>
      <c r="G120" s="495"/>
      <c r="H120" s="495"/>
      <c r="I120" s="495"/>
      <c r="J120" s="495"/>
      <c r="K120" s="495"/>
      <c r="L120" s="495"/>
      <c r="M120" s="495"/>
      <c r="N120" s="495"/>
      <c r="O120" s="495"/>
      <c r="P120" s="495"/>
      <c r="Q120" s="495"/>
      <c r="R120" s="298"/>
      <c r="S120" s="298"/>
      <c r="T120" s="496" t="s">
        <v>234</v>
      </c>
      <c r="U120" s="496"/>
      <c r="V120" s="496"/>
      <c r="W120" s="496"/>
      <c r="X120" s="496"/>
      <c r="Y120" s="493"/>
      <c r="Z120" s="493"/>
      <c r="AA120" s="493"/>
      <c r="AB120" s="493"/>
      <c r="AC120" s="493"/>
      <c r="AD120" s="493"/>
      <c r="AE120" s="493"/>
      <c r="AF120" s="493"/>
      <c r="AG120" s="494"/>
      <c r="AH120" s="494"/>
      <c r="AI120" s="494"/>
      <c r="AJ120" s="494"/>
      <c r="AK120" s="494"/>
      <c r="AL120" s="494"/>
      <c r="AM120" s="494"/>
      <c r="AN120" s="494"/>
      <c r="AO120" s="494"/>
      <c r="AP120" s="494"/>
      <c r="AQ120" s="123"/>
    </row>
    <row r="121" spans="1:43" ht="11.25" customHeight="1" x14ac:dyDescent="0.2">
      <c r="A121" s="304"/>
      <c r="B121" s="305"/>
      <c r="C121" s="305"/>
      <c r="D121" s="305"/>
      <c r="E121" s="305"/>
      <c r="F121" s="305"/>
      <c r="G121" s="305"/>
      <c r="H121" s="305"/>
      <c r="I121" s="305"/>
      <c r="J121" s="305"/>
      <c r="K121" s="305"/>
      <c r="L121" s="305"/>
      <c r="M121" s="293"/>
      <c r="N121" s="293"/>
      <c r="O121" s="293"/>
      <c r="P121" s="293"/>
      <c r="Q121" s="293"/>
      <c r="R121" s="293"/>
      <c r="S121" s="298"/>
      <c r="T121" s="293"/>
      <c r="U121" s="293"/>
      <c r="V121" s="293"/>
      <c r="W121" s="293"/>
      <c r="X121" s="293"/>
      <c r="Y121" s="293"/>
      <c r="Z121" s="293"/>
      <c r="AA121" s="293"/>
      <c r="AB121" s="293"/>
      <c r="AC121" s="293"/>
      <c r="AD121" s="293"/>
      <c r="AE121" s="293"/>
      <c r="AF121" s="293"/>
      <c r="AG121" s="295"/>
      <c r="AH121" s="296"/>
      <c r="AI121" s="123"/>
      <c r="AJ121" s="123"/>
      <c r="AK121" s="123"/>
      <c r="AL121" s="123"/>
      <c r="AM121" s="123"/>
      <c r="AN121" s="297"/>
      <c r="AO121" s="123"/>
      <c r="AP121" s="123"/>
      <c r="AQ121" s="123"/>
    </row>
    <row r="122" spans="1:43" ht="12" customHeight="1" x14ac:dyDescent="0.2">
      <c r="A122" s="123"/>
      <c r="B122" s="482" t="s">
        <v>91</v>
      </c>
      <c r="C122" s="482"/>
      <c r="D122" s="482"/>
      <c r="E122" s="482"/>
      <c r="F122" s="482"/>
      <c r="G122" s="482"/>
      <c r="H122" s="482"/>
      <c r="I122" s="482"/>
      <c r="J122" s="482"/>
      <c r="K122" s="482"/>
      <c r="L122" s="482"/>
      <c r="M122" s="482"/>
      <c r="N122" s="482"/>
      <c r="O122" s="482"/>
      <c r="P122" s="482"/>
      <c r="Q122" s="482"/>
      <c r="R122" s="293"/>
      <c r="S122" s="293"/>
      <c r="T122" s="293"/>
      <c r="U122" s="293"/>
      <c r="V122" s="293"/>
      <c r="W122" s="293"/>
      <c r="X122" s="293"/>
      <c r="Y122" s="293"/>
      <c r="Z122" s="293"/>
      <c r="AA122" s="293"/>
      <c r="AB122" s="293"/>
      <c r="AC122" s="293"/>
      <c r="AD122" s="293"/>
      <c r="AE122" s="293"/>
      <c r="AF122" s="293"/>
      <c r="AG122" s="295"/>
      <c r="AH122" s="296"/>
      <c r="AI122" s="123"/>
      <c r="AJ122" s="123"/>
      <c r="AK122" s="123"/>
      <c r="AL122" s="123"/>
      <c r="AM122" s="123"/>
      <c r="AN122" s="297"/>
      <c r="AO122" s="123"/>
      <c r="AP122" s="123"/>
      <c r="AQ122" s="123"/>
    </row>
    <row r="123" spans="1:43" ht="11.25" customHeight="1" x14ac:dyDescent="0.2">
      <c r="A123" s="123"/>
      <c r="B123" s="293"/>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293"/>
      <c r="Z123" s="293"/>
      <c r="AA123" s="293"/>
      <c r="AB123" s="293"/>
      <c r="AC123" s="293"/>
      <c r="AD123" s="293"/>
      <c r="AE123" s="293"/>
      <c r="AF123" s="293"/>
      <c r="AG123" s="295"/>
      <c r="AH123" s="296"/>
      <c r="AI123" s="123"/>
      <c r="AJ123" s="123"/>
      <c r="AK123" s="123"/>
      <c r="AL123" s="123"/>
      <c r="AM123" s="123"/>
      <c r="AN123" s="297"/>
      <c r="AO123" s="123"/>
      <c r="AP123" s="123"/>
      <c r="AQ123" s="123"/>
    </row>
    <row r="124" spans="1:43" ht="11.25" customHeight="1" x14ac:dyDescent="0.2">
      <c r="A124" s="298"/>
      <c r="B124" s="298"/>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c r="AA124" s="298"/>
      <c r="AB124" s="298"/>
      <c r="AC124" s="298"/>
      <c r="AD124" s="298"/>
      <c r="AE124" s="298"/>
      <c r="AF124" s="298"/>
      <c r="AG124" s="298"/>
      <c r="AH124" s="298"/>
      <c r="AI124" s="298"/>
      <c r="AJ124" s="298"/>
      <c r="AK124" s="298"/>
      <c r="AL124" s="298"/>
      <c r="AM124" s="298"/>
      <c r="AN124" s="298"/>
      <c r="AO124" s="298"/>
      <c r="AP124" s="298"/>
      <c r="AQ124" s="123"/>
    </row>
    <row r="125" spans="1:43" x14ac:dyDescent="0.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row>
    <row r="126" spans="1:43"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row>
    <row r="127" spans="1:43"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row>
    <row r="128" spans="1:43" x14ac:dyDescent="0.2">
      <c r="AG128" s="50"/>
      <c r="AH128" s="50"/>
      <c r="AN128" s="50"/>
    </row>
    <row r="129" spans="33:40" x14ac:dyDescent="0.2">
      <c r="AG129" s="50"/>
      <c r="AH129" s="50"/>
      <c r="AN129" s="50"/>
    </row>
    <row r="130" spans="33:40" x14ac:dyDescent="0.2">
      <c r="AG130" s="50"/>
      <c r="AH130" s="50"/>
      <c r="AN130" s="50"/>
    </row>
    <row r="131" spans="33:40" x14ac:dyDescent="0.2">
      <c r="AG131" s="50"/>
      <c r="AH131" s="50"/>
      <c r="AN131" s="50"/>
    </row>
    <row r="132" spans="33:40" x14ac:dyDescent="0.2">
      <c r="AG132" s="50"/>
      <c r="AH132" s="50"/>
      <c r="AN132" s="50"/>
    </row>
    <row r="133" spans="33:40" x14ac:dyDescent="0.2">
      <c r="AG133" s="50"/>
      <c r="AH133" s="50"/>
      <c r="AN133" s="50"/>
    </row>
    <row r="134" spans="33:40" x14ac:dyDescent="0.2">
      <c r="AG134" s="50"/>
      <c r="AH134" s="50"/>
      <c r="AN134" s="50"/>
    </row>
    <row r="135" spans="33:40" x14ac:dyDescent="0.2">
      <c r="AG135" s="50"/>
      <c r="AH135" s="50"/>
      <c r="AN135" s="50"/>
    </row>
    <row r="136" spans="33:40" x14ac:dyDescent="0.2">
      <c r="AG136" s="50"/>
      <c r="AH136" s="50"/>
      <c r="AN136" s="50"/>
    </row>
    <row r="137" spans="33:40" x14ac:dyDescent="0.2">
      <c r="AG137" s="50"/>
      <c r="AH137" s="50"/>
      <c r="AN137" s="50"/>
    </row>
    <row r="138" spans="33:40" x14ac:dyDescent="0.2">
      <c r="AG138" s="50"/>
      <c r="AH138" s="50"/>
      <c r="AN138" s="50"/>
    </row>
    <row r="139" spans="33:40" x14ac:dyDescent="0.2">
      <c r="AG139" s="50"/>
      <c r="AH139" s="50"/>
      <c r="AN139" s="50"/>
    </row>
    <row r="140" spans="33:40" x14ac:dyDescent="0.2">
      <c r="AG140" s="50"/>
      <c r="AH140" s="50"/>
      <c r="AN140" s="50"/>
    </row>
  </sheetData>
  <sheetProtection sheet="1" objects="1" scenarios="1"/>
  <mergeCells count="26">
    <mergeCell ref="B6:E6"/>
    <mergeCell ref="F6:N6"/>
    <mergeCell ref="B1:L1"/>
    <mergeCell ref="AO1:AP1"/>
    <mergeCell ref="B2:E2"/>
    <mergeCell ref="F2:N2"/>
    <mergeCell ref="P2:U2"/>
    <mergeCell ref="B3:E3"/>
    <mergeCell ref="F3:N3"/>
    <mergeCell ref="P3:U3"/>
    <mergeCell ref="B4:E4"/>
    <mergeCell ref="F4:N4"/>
    <mergeCell ref="P4:U4"/>
    <mergeCell ref="B5:E5"/>
    <mergeCell ref="F5:N5"/>
    <mergeCell ref="B122:Q122"/>
    <mergeCell ref="B7:E7"/>
    <mergeCell ref="F7:N7"/>
    <mergeCell ref="AH10:AI10"/>
    <mergeCell ref="AO10:AP10"/>
    <mergeCell ref="B117:Q117"/>
    <mergeCell ref="B119:Q119"/>
    <mergeCell ref="Y119:AF120"/>
    <mergeCell ref="AG119:AP120"/>
    <mergeCell ref="B120:Q120"/>
    <mergeCell ref="T120:X120"/>
  </mergeCells>
  <conditionalFormatting sqref="B114:AF114 AI114">
    <cfRule type="expression" dxfId="204" priority="13">
      <formula>ABS(B$114)&gt;=ROUND(1/24/60,9)</formula>
    </cfRule>
  </conditionalFormatting>
  <conditionalFormatting sqref="B13:AF22 B34:AF44 B25:AF30 B60:AF61 B67:AF67 B71:AF72 B84:AF84 B86:AF95 B97:AF111">
    <cfRule type="expression" dxfId="203" priority="11">
      <formula>WEEKDAY(B$10,2)&gt;5</formula>
    </cfRule>
    <cfRule type="expression" dxfId="202" priority="12">
      <formula>AND(NOT(ISERROR(MATCH(B$10,T.Feiertage.Bereich,0))),OFFSET(T.Feiertage.Bereich,MATCH(B$10,T.Feiertage.Bereich,0)-1,1,1,1)&gt;0)</formula>
    </cfRule>
    <cfRule type="expression" dxfId="201" priority="14">
      <formula>B$11=0</formula>
    </cfRule>
  </conditionalFormatting>
  <conditionalFormatting sqref="AN60:AO60">
    <cfRule type="expression" dxfId="200" priority="19">
      <formula>AND(T.50_Vetsuisse,AN60&gt;=T.GrenzeAngÜZ50_Vetsuisse)</formula>
    </cfRule>
    <cfRule type="expression" dxfId="199" priority="20">
      <formula>AND(T.50_Vetsuisse,AN60&gt;T.GrenzeAngÜZ50_Vetsuisse*T.AngÜZ50_Vetsuisse_orange)</formula>
    </cfRule>
  </conditionalFormatting>
  <conditionalFormatting sqref="B56:AF56">
    <cfRule type="expression" dxfId="198" priority="5">
      <formula>AND(B$10&gt;TODAY(),EB.UJAustritt="")</formula>
    </cfRule>
    <cfRule type="expression" dxfId="197" priority="6">
      <formula>B$56&gt;99.99/24</formula>
    </cfRule>
    <cfRule type="expression" dxfId="196" priority="8">
      <formula>B$56&lt;99.99/24*-1</formula>
    </cfRule>
  </conditionalFormatting>
  <conditionalFormatting sqref="AO55:AP55">
    <cfRule type="cellIs" dxfId="195" priority="21" operator="greaterThan">
      <formula>1/24/60</formula>
    </cfRule>
    <cfRule type="expression" dxfId="194" priority="22">
      <formula>AND(AO55&lt;=1/24/60*-1,TODAY()&gt;=DATE(EB.Jahr,MONTH(12),DAY(31)))</formula>
    </cfRule>
  </conditionalFormatting>
  <conditionalFormatting sqref="B56:AF56 AI58">
    <cfRule type="expression" dxfId="193" priority="7">
      <formula>B$56&gt;1/24/60</formula>
    </cfRule>
    <cfRule type="expression" dxfId="192" priority="9">
      <formula>AND(B$56&lt;=1/24/60*-1,B$56)</formula>
    </cfRule>
  </conditionalFormatting>
  <conditionalFormatting sqref="B14:AF22 B36:AF44 B26:AF30">
    <cfRule type="expression" dxfId="191" priority="3">
      <formula>AND(B14&lt;B13,B14&lt;&gt;"")</formula>
    </cfRule>
  </conditionalFormatting>
  <conditionalFormatting sqref="B72:AF73">
    <cfRule type="expression" dxfId="190" priority="10">
      <formula>AND(T.50_Vetsuisse,OR(AND(B$72&lt;&gt;INDEX(T.JaNein.Bereich,1,1),B$72&lt;&gt;INDEX(T.JaNein.Bereich,2,1),B$73&lt;&gt;0,MOD(IFERROR(MATCH(1,B$13:B$22,0),1),2)=0),AND(B$72=INDEX(T.JaNein.Bereich,1,1),OR(B$73=0,MOD(IFERROR(MATCH(1,B$13:B$22,0),1),2)&lt;&gt;0))))</formula>
    </cfRule>
  </conditionalFormatting>
  <conditionalFormatting sqref="P4:U4">
    <cfRule type="expression" dxfId="189" priority="15">
      <formula>$P$4&lt;&gt;""</formula>
    </cfRule>
  </conditionalFormatting>
  <conditionalFormatting sqref="V4">
    <cfRule type="expression" dxfId="188" priority="16">
      <formula>$V$4&lt;&gt;""</formula>
    </cfRule>
  </conditionalFormatting>
  <conditionalFormatting sqref="AP60">
    <cfRule type="expression" dxfId="187" priority="23">
      <formula>AND(T.50_Vetsuisse,AP60&gt;=T.GrenzeAngÜZ50_Vetsuisse)</formula>
    </cfRule>
    <cfRule type="expression" dxfId="186" priority="24">
      <formula>AND(T.50_Vetsuisse,AP60&gt;T.GrenzeAngÜZ50_Vetsuisse*T.AngÜZ50_Vetsuisse_orange)</formula>
    </cfRule>
  </conditionalFormatting>
  <conditionalFormatting sqref="AJ72:AJ73">
    <cfRule type="expression" dxfId="185" priority="17">
      <formula>AND(T.50_Vetsuisse,$AJ$72&lt;&gt;$AJ$73)</formula>
    </cfRule>
    <cfRule type="expression" dxfId="184" priority="18">
      <formula>$AJ$72&gt;$AJ$73</formula>
    </cfRule>
  </conditionalFormatting>
  <conditionalFormatting sqref="B55:AF55">
    <cfRule type="expression" dxfId="183" priority="4">
      <formula>AND(B$10&lt;=TODAY(),B$55&lt;1/24/60*-1)</formula>
    </cfRule>
  </conditionalFormatting>
  <conditionalFormatting sqref="AG67 AG84">
    <cfRule type="expression" dxfId="182" priority="2">
      <formula>AG67&lt;&gt;A67</formula>
    </cfRule>
  </conditionalFormatting>
  <conditionalFormatting sqref="B67:AF67">
    <cfRule type="expression" dxfId="181" priority="1">
      <formula>AND(B66=0,B67&gt;0)</formula>
    </cfRule>
  </conditionalFormatting>
  <dataValidations count="2">
    <dataValidation type="list" allowBlank="1" showInputMessage="1" showErrorMessage="1" errorTitle="Start pl. night shift" error="Please choose a value from the drop-down list." sqref="B72:AF72" xr:uid="{1CB44FAD-F354-4779-8448-40DBED3B3DAB}">
      <formula1>T.JaNein.Bereich</formula1>
    </dataValidation>
    <dataValidation type="list" allowBlank="1" showInputMessage="1" showErrorMessage="1" errorTitle="Pikett Bereitschaft" error="Bitte wählen Sie einen Wert aus der Liste." sqref="B34:AF34" xr:uid="{3E98845E-66BC-4412-B725-61B5B7E7528E}">
      <formula1>T.Pikett.Bereich</formula1>
    </dataValidation>
  </dataValidations>
  <printOptions horizontalCentered="1"/>
  <pageMargins left="0.19685039370078741" right="0.19685039370078741" top="0.39370078740157483" bottom="0.39370078740157483" header="0.31496062992125984" footer="0.19685039370078741"/>
  <pageSetup paperSize="9" scale="30" orientation="landscape" horizontalDpi="4294967292" verticalDpi="4294967292" r:id="rId1"/>
  <headerFooter alignWithMargins="0">
    <oddFooter>&amp;L&amp;"Arial,Standard"&amp;11Monatsabrechnung &amp;A&amp;C&amp;"Arial,Standard"&amp;11&amp;D&amp;R&amp;"Arial,Standard"&amp;11&amp;P /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E22A3-EC63-4452-B819-FEAED06A562C}">
  <sheetPr>
    <pageSetUpPr fitToPage="1"/>
  </sheetPr>
  <dimension ref="A1:AP140"/>
  <sheetViews>
    <sheetView showGridLines="0" zoomScale="85" zoomScaleNormal="85" zoomScalePageLayoutView="85" workbookViewId="0">
      <pane xSplit="1" ySplit="10" topLeftCell="B11" activePane="bottomRight" state="frozenSplit"/>
      <selection activeCell="Q8" sqref="Q8:AF11"/>
      <selection pane="topRight" activeCell="Q8" sqref="Q8:AF11"/>
      <selection pane="bottomLeft" activeCell="Q8" sqref="Q8:AF11"/>
      <selection pane="bottomRight" activeCell="B13" sqref="B13"/>
    </sheetView>
  </sheetViews>
  <sheetFormatPr baseColWidth="10" defaultColWidth="10.75" defaultRowHeight="12.75" outlineLevelRow="1" outlineLevelCol="1" x14ac:dyDescent="0.2"/>
  <cols>
    <col min="1" max="1" width="24.5" style="50" customWidth="1"/>
    <col min="2" max="31" width="5.75" style="50" customWidth="1"/>
    <col min="32" max="32" width="24.5" style="52" customWidth="1"/>
    <col min="33" max="33" width="2.125" style="53" customWidth="1"/>
    <col min="34" max="35" width="8.125" style="50" customWidth="1"/>
    <col min="36" max="36" width="15.875" style="50" hidden="1" customWidth="1" outlineLevel="1"/>
    <col min="37" max="38" width="14.25" style="50" hidden="1" customWidth="1" outlineLevel="1"/>
    <col min="39" max="39" width="9.375" style="37" customWidth="1" collapsed="1"/>
    <col min="40" max="41" width="8.125" style="50" customWidth="1"/>
    <col min="42" max="42" width="3.75" style="50" customWidth="1"/>
    <col min="43" max="16384" width="10.75" style="50"/>
  </cols>
  <sheetData>
    <row r="1" spans="1:42" s="54" customFormat="1" ht="22.5" customHeight="1" x14ac:dyDescent="0.2">
      <c r="A1" s="181" t="str">
        <f>INDEX(EB.Monate.Bereich,MONTH(Monat.Tag1)) &amp; " " &amp; EB.Jahr</f>
        <v>June 2020</v>
      </c>
      <c r="B1" s="470" t="str">
        <f>Eingabeblatt!B1</f>
        <v>Employee Time Sheet</v>
      </c>
      <c r="C1" s="470"/>
      <c r="D1" s="470"/>
      <c r="E1" s="470"/>
      <c r="F1" s="470"/>
      <c r="G1" s="470"/>
      <c r="H1" s="470"/>
      <c r="I1" s="470"/>
      <c r="J1" s="470"/>
      <c r="K1" s="470"/>
      <c r="L1" s="470"/>
      <c r="M1" s="101"/>
      <c r="N1" s="101"/>
      <c r="O1" s="101"/>
      <c r="P1" s="101"/>
      <c r="Q1" s="101"/>
      <c r="R1" s="182"/>
      <c r="S1" s="101"/>
      <c r="T1" s="101"/>
      <c r="U1" s="101"/>
      <c r="V1" s="183"/>
      <c r="W1" s="183"/>
      <c r="X1" s="101"/>
      <c r="Y1" s="182"/>
      <c r="Z1" s="101"/>
      <c r="AA1" s="101"/>
      <c r="AB1" s="101"/>
      <c r="AC1" s="101"/>
      <c r="AD1" s="101"/>
      <c r="AE1" s="101"/>
      <c r="AF1" s="184"/>
      <c r="AG1" s="185"/>
      <c r="AH1" s="101"/>
      <c r="AI1" s="101"/>
      <c r="AJ1" s="101"/>
      <c r="AK1" s="101"/>
      <c r="AL1" s="101"/>
      <c r="AM1" s="440"/>
      <c r="AN1" s="498" t="str">
        <f>EB.Version</f>
        <v>Version 12.19</v>
      </c>
      <c r="AO1" s="498"/>
      <c r="AP1" s="103" t="str">
        <f>EB.Sprache</f>
        <v>EN</v>
      </c>
    </row>
    <row r="2" spans="1:42" s="38" customFormat="1" ht="15" customHeight="1" x14ac:dyDescent="0.2">
      <c r="A2" s="135"/>
      <c r="B2" s="461" t="str">
        <f>Eingabeblatt!A3</f>
        <v>Name</v>
      </c>
      <c r="C2" s="474"/>
      <c r="D2" s="474"/>
      <c r="E2" s="462"/>
      <c r="F2" s="499" t="str">
        <f>IF(EB.Name="","?",EB.Name)</f>
        <v>?</v>
      </c>
      <c r="G2" s="500"/>
      <c r="H2" s="500"/>
      <c r="I2" s="500"/>
      <c r="J2" s="500"/>
      <c r="K2" s="500"/>
      <c r="L2" s="500"/>
      <c r="M2" s="500"/>
      <c r="N2" s="501"/>
      <c r="O2" s="186"/>
      <c r="P2" s="461" t="str">
        <f>Eingabeblatt!J7</f>
        <v>Employment Level (FTE) in %</v>
      </c>
      <c r="Q2" s="474"/>
      <c r="R2" s="474"/>
      <c r="S2" s="474"/>
      <c r="T2" s="474"/>
      <c r="U2" s="462"/>
      <c r="V2" s="14">
        <f>IF(INDEX(EB.EffBG.Bereich,MONTH(Monat.Tag1))="","-     ",INDEX(EB.EffBG.Bereich,MONTH(Monat.Tag1)))</f>
        <v>100</v>
      </c>
      <c r="W2" s="187"/>
      <c r="X2" s="187"/>
      <c r="Y2" s="108"/>
      <c r="Z2" s="119"/>
      <c r="AA2" s="119"/>
      <c r="AB2" s="119"/>
      <c r="AC2" s="119"/>
      <c r="AD2" s="119"/>
      <c r="AE2" s="119"/>
      <c r="AF2" s="106"/>
      <c r="AG2" s="188"/>
      <c r="AH2" s="119"/>
      <c r="AI2" s="119"/>
      <c r="AJ2" s="119"/>
      <c r="AK2" s="119"/>
      <c r="AL2" s="119"/>
      <c r="AM2" s="189"/>
      <c r="AN2" s="119"/>
      <c r="AO2" s="119"/>
      <c r="AP2" s="119"/>
    </row>
    <row r="3" spans="1:42" s="38" customFormat="1" ht="15" customHeight="1" x14ac:dyDescent="0.2">
      <c r="A3" s="190"/>
      <c r="B3" s="461" t="str">
        <f>Eingabeblatt!H2</f>
        <v>Function</v>
      </c>
      <c r="C3" s="474"/>
      <c r="D3" s="474"/>
      <c r="E3" s="462"/>
      <c r="F3" s="483" t="str">
        <f>EB.Funktion</f>
        <v>Description of Function</v>
      </c>
      <c r="G3" s="484"/>
      <c r="H3" s="484"/>
      <c r="I3" s="484"/>
      <c r="J3" s="484"/>
      <c r="K3" s="484"/>
      <c r="L3" s="484"/>
      <c r="M3" s="484"/>
      <c r="N3" s="485"/>
      <c r="O3" s="106"/>
      <c r="P3" s="461" t="str">
        <f>Eingabeblatt!J12</f>
        <v>ø Hours per day at FTE</v>
      </c>
      <c r="Q3" s="474"/>
      <c r="R3" s="474"/>
      <c r="S3" s="474"/>
      <c r="T3" s="474"/>
      <c r="U3" s="462"/>
      <c r="V3" s="57">
        <f>IF(INDEX(EB.DurchSollTAZStd.Bereich,MONTH(Monat.Tag1))="","-     ",INDEX(EB.DurchSollTAZStd.Bereich,MONTH(Monat.Tag1)))</f>
        <v>0.35</v>
      </c>
      <c r="W3" s="191"/>
      <c r="X3" s="191"/>
      <c r="Y3" s="119"/>
      <c r="Z3" s="119"/>
      <c r="AA3" s="119"/>
      <c r="AB3" s="119"/>
      <c r="AC3" s="119"/>
      <c r="AD3" s="119"/>
      <c r="AE3" s="119"/>
      <c r="AF3" s="106"/>
      <c r="AG3" s="188"/>
      <c r="AH3" s="119"/>
      <c r="AI3" s="119"/>
      <c r="AJ3" s="119"/>
      <c r="AK3" s="119"/>
      <c r="AL3" s="119"/>
      <c r="AM3" s="189"/>
      <c r="AN3" s="119"/>
      <c r="AO3" s="119"/>
      <c r="AP3" s="119"/>
    </row>
    <row r="4" spans="1:42" s="38" customFormat="1" ht="15" customHeight="1" x14ac:dyDescent="0.2">
      <c r="A4" s="190"/>
      <c r="B4" s="461" t="str">
        <f>Eingabeblatt!H3</f>
        <v>Institute/Department</v>
      </c>
      <c r="C4" s="474"/>
      <c r="D4" s="474"/>
      <c r="E4" s="462"/>
      <c r="F4" s="483" t="str">
        <f>EB.Institut</f>
        <v>Institute/Department Name</v>
      </c>
      <c r="G4" s="484"/>
      <c r="H4" s="484"/>
      <c r="I4" s="484"/>
      <c r="J4" s="484"/>
      <c r="K4" s="484"/>
      <c r="L4" s="484"/>
      <c r="M4" s="484"/>
      <c r="N4" s="485"/>
      <c r="O4" s="106"/>
      <c r="P4" s="497" t="str">
        <f ca="1">IF(EB.ÜZZSBerechtigt=INDEX(T.JaNein.Bereich,1,1),IF(AND(OR(AND(EB.LKgr16=INDEX(T.JaNein.Bereich,1,1),EB.LKgr16ab&gt;EOMONTH(Monat.Tag1,0)),EB.LKgr16&lt;&gt;INDEX(T.JaNein.Bereich,1,1)),Monat.AZSoll.Total&gt;0),Eingabeblatt!J6,""),"")</f>
        <v/>
      </c>
      <c r="Q4" s="497"/>
      <c r="R4" s="497"/>
      <c r="S4" s="497"/>
      <c r="T4" s="497"/>
      <c r="U4" s="497"/>
      <c r="V4" s="192" t="str">
        <f ca="1">IF(P4&lt;&gt;"",EB.ÜZZSBerechtigt,"")</f>
        <v/>
      </c>
      <c r="W4" s="119"/>
      <c r="X4" s="119"/>
      <c r="Y4" s="119"/>
      <c r="Z4" s="119"/>
      <c r="AA4" s="119"/>
      <c r="AB4" s="119"/>
      <c r="AC4" s="119"/>
      <c r="AD4" s="119"/>
      <c r="AE4" s="119"/>
      <c r="AF4" s="106"/>
      <c r="AG4" s="188"/>
      <c r="AH4" s="119"/>
      <c r="AI4" s="119"/>
      <c r="AJ4" s="119"/>
      <c r="AK4" s="119"/>
      <c r="AL4" s="119"/>
      <c r="AM4" s="189"/>
      <c r="AN4" s="119"/>
      <c r="AO4" s="119"/>
      <c r="AP4" s="119"/>
    </row>
    <row r="5" spans="1:42" s="38" customFormat="1" ht="15" customHeight="1" x14ac:dyDescent="0.2">
      <c r="A5" s="190"/>
      <c r="B5" s="461" t="str">
        <f>Eingabeblatt!A5</f>
        <v>Employee Number</v>
      </c>
      <c r="C5" s="474"/>
      <c r="D5" s="474"/>
      <c r="E5" s="462"/>
      <c r="F5" s="483" t="str">
        <f>IF(EB.Personalnummer="","?",EB.Personalnummer)</f>
        <v>?</v>
      </c>
      <c r="G5" s="484"/>
      <c r="H5" s="484"/>
      <c r="I5" s="484"/>
      <c r="J5" s="484"/>
      <c r="K5" s="484"/>
      <c r="L5" s="484"/>
      <c r="M5" s="484"/>
      <c r="N5" s="485"/>
      <c r="O5" s="106"/>
      <c r="P5" s="110" t="str">
        <f>LEFT(Eingabeblatt!A38,SEARCH("(",Eingabeblatt!A38,1)-2) &amp; IF(MONTH(Monat.Tag1)&gt;1,IF(EB.Sprache="EN"," (changes as of "," (Veränderungen ab ") &amp; INDEX(EB.Monate.Bereich,MONTH(Monat.Tag1))  &amp; IF(EB.Sprache="EN"," have to be entered here)"," hier eintragen)"),"")</f>
        <v>Standard working hours (changes as of June have to be entered here)</v>
      </c>
      <c r="Q5" s="106"/>
      <c r="R5" s="119"/>
      <c r="S5" s="119"/>
      <c r="T5" s="119"/>
      <c r="U5" s="119"/>
      <c r="V5" s="119"/>
      <c r="W5" s="119"/>
      <c r="X5" s="119"/>
      <c r="Y5" s="119"/>
      <c r="Z5" s="119"/>
      <c r="AA5" s="119"/>
      <c r="AB5" s="119"/>
      <c r="AC5" s="119"/>
      <c r="AD5" s="119"/>
      <c r="AE5" s="119"/>
      <c r="AF5" s="106"/>
      <c r="AG5" s="188"/>
      <c r="AH5" s="119"/>
      <c r="AI5" s="119"/>
      <c r="AJ5" s="119"/>
      <c r="AK5" s="119"/>
      <c r="AL5" s="119"/>
      <c r="AM5" s="189"/>
      <c r="AN5" s="119"/>
      <c r="AO5" s="119"/>
      <c r="AP5" s="119"/>
    </row>
    <row r="6" spans="1:42" s="38" customFormat="1" ht="15" customHeight="1" x14ac:dyDescent="0.2">
      <c r="A6" s="190"/>
      <c r="B6" s="461" t="str">
        <f>Eingabeblatt!H4</f>
        <v>Faculty</v>
      </c>
      <c r="C6" s="474"/>
      <c r="D6" s="474"/>
      <c r="E6" s="462"/>
      <c r="F6" s="483" t="str">
        <f>EB.Fakultaet</f>
        <v>Select Faculty</v>
      </c>
      <c r="G6" s="484"/>
      <c r="H6" s="484"/>
      <c r="I6" s="484"/>
      <c r="J6" s="484"/>
      <c r="K6" s="484"/>
      <c r="L6" s="484"/>
      <c r="M6" s="484"/>
      <c r="N6" s="485"/>
      <c r="O6" s="106"/>
      <c r="P6" s="193" t="str">
        <f>LEFT(INDEX(EB.RAZ_Wochentage.Bereich,1),2)</f>
        <v>Mo</v>
      </c>
      <c r="Q6" s="193" t="str">
        <f>LEFT(INDEX(EB.RAZ_Wochentage.Bereich,2),2)</f>
        <v>Tu</v>
      </c>
      <c r="R6" s="193" t="str">
        <f>LEFT(INDEX(EB.RAZ_Wochentage.Bereich,3),2)</f>
        <v>We</v>
      </c>
      <c r="S6" s="193" t="str">
        <f>LEFT(INDEX(EB.RAZ_Wochentage.Bereich,4),2)</f>
        <v>Th</v>
      </c>
      <c r="T6" s="193" t="str">
        <f>LEFT(INDEX(EB.RAZ_Wochentage.Bereich,5),2)</f>
        <v>Fr</v>
      </c>
      <c r="U6" s="193" t="str">
        <f>LEFT(INDEX(EB.RAZ_Wochentage.Bereich,6),2)</f>
        <v>Sa</v>
      </c>
      <c r="V6" s="193" t="str">
        <f>LEFT(INDEX(EB.RAZ_Wochentage.Bereich,7),2)</f>
        <v>Su</v>
      </c>
      <c r="W6" s="119"/>
      <c r="X6" s="119"/>
      <c r="Y6" s="119"/>
      <c r="Z6" s="119"/>
      <c r="AA6" s="119"/>
      <c r="AB6" s="119"/>
      <c r="AC6" s="119"/>
      <c r="AD6" s="119"/>
      <c r="AE6" s="119"/>
      <c r="AF6" s="106"/>
      <c r="AG6" s="188"/>
      <c r="AH6" s="119"/>
      <c r="AI6" s="119"/>
      <c r="AJ6" s="119"/>
      <c r="AK6" s="119"/>
      <c r="AL6" s="119"/>
      <c r="AM6" s="189"/>
      <c r="AN6" s="119"/>
      <c r="AO6" s="119"/>
      <c r="AP6" s="119"/>
    </row>
    <row r="7" spans="1:42" s="38" customFormat="1" ht="15" customHeight="1" x14ac:dyDescent="0.2">
      <c r="A7" s="190"/>
      <c r="B7" s="461" t="str">
        <f>Eingabeblatt!H5</f>
        <v>Employee Category</v>
      </c>
      <c r="C7" s="474"/>
      <c r="D7" s="474"/>
      <c r="E7" s="462"/>
      <c r="F7" s="483" t="str">
        <f>EB.Personalkategorie</f>
        <v>Select Employee Category</v>
      </c>
      <c r="G7" s="484"/>
      <c r="H7" s="484"/>
      <c r="I7" s="484"/>
      <c r="J7" s="484"/>
      <c r="K7" s="484"/>
      <c r="L7" s="484"/>
      <c r="M7" s="484"/>
      <c r="N7" s="485"/>
      <c r="O7" s="106"/>
      <c r="P7" s="194">
        <f ca="1">IF(EB.Anwendung&lt;&gt;"",IF(MONTH(Monat.Tag1)=1,INDEX(EB.RAZ1_7.Bereich,1),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1)),"")</f>
        <v>0.35</v>
      </c>
      <c r="Q7" s="194">
        <f ca="1">IF(EB.Anwendung&lt;&gt;"",IF(MONTH(Monat.Tag1)=1,INDEX(EB.RAZ1_7.Bereich,2),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2)),"")</f>
        <v>0.35</v>
      </c>
      <c r="R7" s="194">
        <f ca="1">IF(EB.Anwendung&lt;&gt;"",IF(MONTH(Monat.Tag1)=1,INDEX(EB.RAZ1_7.Bereich,3),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3)),"")</f>
        <v>0.35</v>
      </c>
      <c r="S7" s="194">
        <f ca="1">IF(EB.Anwendung&lt;&gt;"",IF(MONTH(Monat.Tag1)=1,INDEX(EB.RAZ1_7.Bereich,4),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4)),"")</f>
        <v>0.35</v>
      </c>
      <c r="T7" s="194">
        <f ca="1">IF(EB.Anwendung&lt;&gt;"",IF(MONTH(Monat.Tag1)=1,INDEX(EB.RAZ1_7.Bereich,5),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5)),"")</f>
        <v>0.35</v>
      </c>
      <c r="U7" s="194">
        <f ca="1">IF(EB.Anwendung&lt;&gt;"",IF(MONTH(Monat.Tag1)=1,INDEX(EB.RAZ1_7.Bereich,6),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6)),"")</f>
        <v>0</v>
      </c>
      <c r="V7" s="194">
        <f ca="1">IF(EB.Anwendung&lt;&gt;"",IF(MONTH(Monat.Tag1)=1,INDEX(EB.RAZ1_7.Bereich,7),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7)),"")</f>
        <v>0</v>
      </c>
      <c r="W7" s="354">
        <f ca="1">SUM(Monat.RAZ1_7.Bereich)</f>
        <v>1.75</v>
      </c>
      <c r="X7" s="119"/>
      <c r="Y7" s="119"/>
      <c r="Z7" s="119"/>
      <c r="AA7" s="119"/>
      <c r="AB7" s="119"/>
      <c r="AC7" s="119"/>
      <c r="AD7" s="119"/>
      <c r="AE7" s="119"/>
      <c r="AF7" s="106"/>
      <c r="AG7" s="188"/>
      <c r="AH7" s="119"/>
      <c r="AI7" s="119"/>
      <c r="AJ7" s="119"/>
      <c r="AK7" s="119"/>
      <c r="AL7" s="119"/>
      <c r="AM7" s="189"/>
      <c r="AN7" s="119"/>
      <c r="AO7" s="119"/>
      <c r="AP7" s="119"/>
    </row>
    <row r="8" spans="1:42" s="38" customFormat="1" ht="11.25" customHeight="1" x14ac:dyDescent="0.2">
      <c r="A8" s="135"/>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06"/>
      <c r="AG8" s="188"/>
      <c r="AH8" s="119"/>
      <c r="AI8" s="119"/>
      <c r="AJ8" s="119"/>
      <c r="AK8" s="119"/>
      <c r="AL8" s="119"/>
      <c r="AM8" s="189"/>
      <c r="AN8" s="119"/>
      <c r="AO8" s="119"/>
      <c r="AP8" s="119"/>
    </row>
    <row r="9" spans="1:42" s="38" customFormat="1" ht="15" customHeight="1" x14ac:dyDescent="0.2">
      <c r="A9" s="135"/>
      <c r="B9" s="195" t="str">
        <f t="shared" ref="B9:AE9" si="0">INDEX(Monat.Wochentage.Bereich,1,WEEKDAY(B10,2))</f>
        <v>Mo</v>
      </c>
      <c r="C9" s="195" t="str">
        <f t="shared" si="0"/>
        <v>Tu</v>
      </c>
      <c r="D9" s="195" t="str">
        <f t="shared" si="0"/>
        <v>We</v>
      </c>
      <c r="E9" s="195" t="str">
        <f t="shared" si="0"/>
        <v>Th</v>
      </c>
      <c r="F9" s="195" t="str">
        <f t="shared" si="0"/>
        <v>Fr</v>
      </c>
      <c r="G9" s="195" t="str">
        <f t="shared" si="0"/>
        <v>Sa</v>
      </c>
      <c r="H9" s="195" t="str">
        <f t="shared" si="0"/>
        <v>Su</v>
      </c>
      <c r="I9" s="195" t="str">
        <f t="shared" si="0"/>
        <v>Mo</v>
      </c>
      <c r="J9" s="195" t="str">
        <f t="shared" si="0"/>
        <v>Tu</v>
      </c>
      <c r="K9" s="195" t="str">
        <f t="shared" si="0"/>
        <v>We</v>
      </c>
      <c r="L9" s="195" t="str">
        <f t="shared" si="0"/>
        <v>Th</v>
      </c>
      <c r="M9" s="195" t="str">
        <f t="shared" si="0"/>
        <v>Fr</v>
      </c>
      <c r="N9" s="195" t="str">
        <f t="shared" si="0"/>
        <v>Sa</v>
      </c>
      <c r="O9" s="195" t="str">
        <f t="shared" si="0"/>
        <v>Su</v>
      </c>
      <c r="P9" s="195" t="str">
        <f t="shared" si="0"/>
        <v>Mo</v>
      </c>
      <c r="Q9" s="195" t="str">
        <f t="shared" si="0"/>
        <v>Tu</v>
      </c>
      <c r="R9" s="195" t="str">
        <f t="shared" si="0"/>
        <v>We</v>
      </c>
      <c r="S9" s="195" t="str">
        <f t="shared" si="0"/>
        <v>Th</v>
      </c>
      <c r="T9" s="195" t="str">
        <f t="shared" si="0"/>
        <v>Fr</v>
      </c>
      <c r="U9" s="195" t="str">
        <f t="shared" si="0"/>
        <v>Sa</v>
      </c>
      <c r="V9" s="195" t="str">
        <f t="shared" si="0"/>
        <v>Su</v>
      </c>
      <c r="W9" s="195" t="str">
        <f t="shared" si="0"/>
        <v>Mo</v>
      </c>
      <c r="X9" s="195" t="str">
        <f t="shared" si="0"/>
        <v>Tu</v>
      </c>
      <c r="Y9" s="195" t="str">
        <f t="shared" si="0"/>
        <v>We</v>
      </c>
      <c r="Z9" s="195" t="str">
        <f t="shared" si="0"/>
        <v>Th</v>
      </c>
      <c r="AA9" s="195" t="str">
        <f t="shared" si="0"/>
        <v>Fr</v>
      </c>
      <c r="AB9" s="195" t="str">
        <f t="shared" si="0"/>
        <v>Sa</v>
      </c>
      <c r="AC9" s="195" t="str">
        <f t="shared" si="0"/>
        <v>Su</v>
      </c>
      <c r="AD9" s="195" t="str">
        <f t="shared" si="0"/>
        <v>Mo</v>
      </c>
      <c r="AE9" s="195" t="str">
        <f t="shared" si="0"/>
        <v>Tu</v>
      </c>
      <c r="AF9" s="106"/>
      <c r="AG9" s="188"/>
      <c r="AH9" s="119"/>
      <c r="AI9" s="119"/>
      <c r="AJ9" s="119"/>
      <c r="AK9" s="119"/>
      <c r="AL9" s="119"/>
      <c r="AM9" s="189"/>
      <c r="AN9" s="119"/>
      <c r="AO9" s="119"/>
      <c r="AP9" s="119"/>
    </row>
    <row r="10" spans="1:42" s="59" customFormat="1" ht="25.5" x14ac:dyDescent="0.2">
      <c r="A10" s="196" t="s">
        <v>73</v>
      </c>
      <c r="B10" s="197">
        <v>42521</v>
      </c>
      <c r="C10" s="197">
        <f>B10+1</f>
        <v>42522</v>
      </c>
      <c r="D10" s="197">
        <f t="shared" ref="D10:AE10" si="1">C10+1</f>
        <v>42523</v>
      </c>
      <c r="E10" s="197">
        <f t="shared" si="1"/>
        <v>42524</v>
      </c>
      <c r="F10" s="197">
        <f t="shared" si="1"/>
        <v>42525</v>
      </c>
      <c r="G10" s="197">
        <f t="shared" si="1"/>
        <v>42526</v>
      </c>
      <c r="H10" s="197">
        <f t="shared" si="1"/>
        <v>42527</v>
      </c>
      <c r="I10" s="197">
        <f t="shared" si="1"/>
        <v>42528</v>
      </c>
      <c r="J10" s="197">
        <f t="shared" si="1"/>
        <v>42529</v>
      </c>
      <c r="K10" s="197">
        <f t="shared" si="1"/>
        <v>42530</v>
      </c>
      <c r="L10" s="197">
        <f t="shared" si="1"/>
        <v>42531</v>
      </c>
      <c r="M10" s="197">
        <f t="shared" si="1"/>
        <v>42532</v>
      </c>
      <c r="N10" s="197">
        <f t="shared" si="1"/>
        <v>42533</v>
      </c>
      <c r="O10" s="197">
        <f t="shared" si="1"/>
        <v>42534</v>
      </c>
      <c r="P10" s="197">
        <f t="shared" si="1"/>
        <v>42535</v>
      </c>
      <c r="Q10" s="197">
        <f t="shared" si="1"/>
        <v>42536</v>
      </c>
      <c r="R10" s="197">
        <f t="shared" si="1"/>
        <v>42537</v>
      </c>
      <c r="S10" s="197">
        <f t="shared" si="1"/>
        <v>42538</v>
      </c>
      <c r="T10" s="197">
        <f t="shared" si="1"/>
        <v>42539</v>
      </c>
      <c r="U10" s="197">
        <f t="shared" si="1"/>
        <v>42540</v>
      </c>
      <c r="V10" s="197">
        <f t="shared" si="1"/>
        <v>42541</v>
      </c>
      <c r="W10" s="197">
        <f t="shared" si="1"/>
        <v>42542</v>
      </c>
      <c r="X10" s="197">
        <f t="shared" si="1"/>
        <v>42543</v>
      </c>
      <c r="Y10" s="197">
        <f t="shared" si="1"/>
        <v>42544</v>
      </c>
      <c r="Z10" s="197">
        <f t="shared" si="1"/>
        <v>42545</v>
      </c>
      <c r="AA10" s="197">
        <f t="shared" si="1"/>
        <v>42546</v>
      </c>
      <c r="AB10" s="197">
        <f t="shared" si="1"/>
        <v>42547</v>
      </c>
      <c r="AC10" s="197">
        <f t="shared" si="1"/>
        <v>42548</v>
      </c>
      <c r="AD10" s="197">
        <f t="shared" si="1"/>
        <v>42549</v>
      </c>
      <c r="AE10" s="197">
        <f t="shared" si="1"/>
        <v>42550</v>
      </c>
      <c r="AF10" s="198" t="str">
        <f>A10</f>
        <v>Day</v>
      </c>
      <c r="AG10" s="486" t="str">
        <f>"Total " &amp; INDEX(EB.Monate.Bereich,MONTH(Monat.Tag1))</f>
        <v>Total June</v>
      </c>
      <c r="AH10" s="487"/>
      <c r="AI10" s="441" t="s">
        <v>229</v>
      </c>
      <c r="AJ10" s="199" t="s">
        <v>121</v>
      </c>
      <c r="AK10" s="199" t="s">
        <v>122</v>
      </c>
      <c r="AL10" s="199" t="s">
        <v>230</v>
      </c>
      <c r="AM10" s="200" t="s">
        <v>123</v>
      </c>
      <c r="AN10" s="488" t="str">
        <f ca="1">IF(EB.Sprache="DE","Jahressaldo per" &amp; CHAR(10) &amp; "    ME       " &amp; IFERROR(TEXT(TODAY(),"[$-0007]"&amp;"TT.MM.JJ"),TEXT(TODAY(),"[$-0007]"&amp;"DD.MM.YY")),
"Yearly balance by" &amp; CHAR(10) &amp; "   eom      " &amp; IFERROR(TEXT(TODAY(),"[$-0809]"&amp;"DD.MM.YY"),TEXT(TODAY(),"[$-0809]"&amp;"TT.MM.JJ")))</f>
        <v>Yearly balance by
   eom      14.12.19</v>
      </c>
      <c r="AO10" s="489"/>
      <c r="AP10" s="201"/>
    </row>
    <row r="11" spans="1:42" s="59" customFormat="1" ht="12" hidden="1" customHeight="1" x14ac:dyDescent="0.2">
      <c r="A11" s="196" t="s">
        <v>163</v>
      </c>
      <c r="B11" s="202">
        <f t="shared" ref="B11:AE11" ca="1" si="2">IFERROR(OFFSET(T.Feiertage.Bereich,MATCH(B$10,T.Feiertage.Bereich,0)-1,1,1,1),1)</f>
        <v>0</v>
      </c>
      <c r="C11" s="202">
        <f t="shared" ca="1" si="2"/>
        <v>1</v>
      </c>
      <c r="D11" s="202">
        <f t="shared" ca="1" si="2"/>
        <v>1</v>
      </c>
      <c r="E11" s="203">
        <f t="shared" ca="1" si="2"/>
        <v>1</v>
      </c>
      <c r="F11" s="202">
        <f t="shared" ca="1" si="2"/>
        <v>1</v>
      </c>
      <c r="G11" s="202">
        <f t="shared" ca="1" si="2"/>
        <v>1</v>
      </c>
      <c r="H11" s="202">
        <f t="shared" ca="1" si="2"/>
        <v>1</v>
      </c>
      <c r="I11" s="202">
        <f t="shared" ca="1" si="2"/>
        <v>1</v>
      </c>
      <c r="J11" s="203">
        <f t="shared" ca="1" si="2"/>
        <v>1</v>
      </c>
      <c r="K11" s="202">
        <f t="shared" ca="1" si="2"/>
        <v>1</v>
      </c>
      <c r="L11" s="203">
        <f t="shared" ca="1" si="2"/>
        <v>1</v>
      </c>
      <c r="M11" s="202">
        <f t="shared" ca="1" si="2"/>
        <v>1</v>
      </c>
      <c r="N11" s="202">
        <f t="shared" ca="1" si="2"/>
        <v>1</v>
      </c>
      <c r="O11" s="202">
        <f t="shared" ca="1" si="2"/>
        <v>1</v>
      </c>
      <c r="P11" s="202">
        <f t="shared" ca="1" si="2"/>
        <v>1</v>
      </c>
      <c r="Q11" s="203">
        <f t="shared" ca="1" si="2"/>
        <v>1</v>
      </c>
      <c r="R11" s="202">
        <f t="shared" ca="1" si="2"/>
        <v>1</v>
      </c>
      <c r="S11" s="203">
        <f t="shared" ca="1" si="2"/>
        <v>1</v>
      </c>
      <c r="T11" s="203">
        <f t="shared" ca="1" si="2"/>
        <v>1</v>
      </c>
      <c r="U11" s="202">
        <f t="shared" ca="1" si="2"/>
        <v>1</v>
      </c>
      <c r="V11" s="202">
        <f t="shared" ca="1" si="2"/>
        <v>1</v>
      </c>
      <c r="W11" s="202">
        <f t="shared" ca="1" si="2"/>
        <v>1</v>
      </c>
      <c r="X11" s="203">
        <f t="shared" ca="1" si="2"/>
        <v>1</v>
      </c>
      <c r="Y11" s="202">
        <f t="shared" ca="1" si="2"/>
        <v>1</v>
      </c>
      <c r="Z11" s="204">
        <f t="shared" ca="1" si="2"/>
        <v>1</v>
      </c>
      <c r="AA11" s="202">
        <f t="shared" ca="1" si="2"/>
        <v>1</v>
      </c>
      <c r="AB11" s="202">
        <f t="shared" ca="1" si="2"/>
        <v>1</v>
      </c>
      <c r="AC11" s="202">
        <f t="shared" ca="1" si="2"/>
        <v>1</v>
      </c>
      <c r="AD11" s="202">
        <f t="shared" ca="1" si="2"/>
        <v>1</v>
      </c>
      <c r="AE11" s="203">
        <f t="shared" ca="1" si="2"/>
        <v>1</v>
      </c>
      <c r="AF11" s="205"/>
      <c r="AG11" s="188"/>
      <c r="AH11" s="206"/>
      <c r="AI11" s="207"/>
      <c r="AJ11" s="208"/>
      <c r="AK11" s="209"/>
      <c r="AL11" s="209"/>
      <c r="AM11" s="208"/>
      <c r="AN11" s="209"/>
      <c r="AO11" s="209"/>
      <c r="AP11" s="201"/>
    </row>
    <row r="12" spans="1:42" s="59" customFormat="1" ht="12" hidden="1" customHeight="1" x14ac:dyDescent="0.2">
      <c r="A12" s="196" t="s">
        <v>169</v>
      </c>
      <c r="B12" s="210">
        <f t="shared" ref="B12:AE12" si="3">IF(OR(AND(ISNUMBER(EB.UJEintritt),EB.UJEintritt&gt;=B$10+1),AND(ISNUMBER(EB.UJAustritt),EB.UJAustritt&lt;=B$10-1)),0,1)</f>
        <v>1</v>
      </c>
      <c r="C12" s="210">
        <f t="shared" si="3"/>
        <v>1</v>
      </c>
      <c r="D12" s="210">
        <f t="shared" si="3"/>
        <v>1</v>
      </c>
      <c r="E12" s="195">
        <f t="shared" si="3"/>
        <v>1</v>
      </c>
      <c r="F12" s="210">
        <f t="shared" si="3"/>
        <v>1</v>
      </c>
      <c r="G12" s="210">
        <f t="shared" si="3"/>
        <v>1</v>
      </c>
      <c r="H12" s="210">
        <f t="shared" si="3"/>
        <v>1</v>
      </c>
      <c r="I12" s="210">
        <f t="shared" si="3"/>
        <v>1</v>
      </c>
      <c r="J12" s="195">
        <f t="shared" si="3"/>
        <v>1</v>
      </c>
      <c r="K12" s="210">
        <f t="shared" si="3"/>
        <v>1</v>
      </c>
      <c r="L12" s="195">
        <f t="shared" si="3"/>
        <v>1</v>
      </c>
      <c r="M12" s="210">
        <f t="shared" si="3"/>
        <v>1</v>
      </c>
      <c r="N12" s="210">
        <f t="shared" si="3"/>
        <v>1</v>
      </c>
      <c r="O12" s="210">
        <f t="shared" si="3"/>
        <v>1</v>
      </c>
      <c r="P12" s="210">
        <f t="shared" si="3"/>
        <v>1</v>
      </c>
      <c r="Q12" s="195">
        <f t="shared" si="3"/>
        <v>1</v>
      </c>
      <c r="R12" s="210">
        <f t="shared" si="3"/>
        <v>1</v>
      </c>
      <c r="S12" s="195">
        <f t="shared" si="3"/>
        <v>1</v>
      </c>
      <c r="T12" s="195">
        <f t="shared" si="3"/>
        <v>1</v>
      </c>
      <c r="U12" s="210">
        <f t="shared" si="3"/>
        <v>1</v>
      </c>
      <c r="V12" s="210">
        <f t="shared" si="3"/>
        <v>1</v>
      </c>
      <c r="W12" s="210">
        <f t="shared" si="3"/>
        <v>1</v>
      </c>
      <c r="X12" s="195">
        <f t="shared" si="3"/>
        <v>1</v>
      </c>
      <c r="Y12" s="210">
        <f t="shared" si="3"/>
        <v>1</v>
      </c>
      <c r="Z12" s="211">
        <f t="shared" si="3"/>
        <v>1</v>
      </c>
      <c r="AA12" s="210">
        <f t="shared" si="3"/>
        <v>1</v>
      </c>
      <c r="AB12" s="210">
        <f t="shared" si="3"/>
        <v>1</v>
      </c>
      <c r="AC12" s="210">
        <f t="shared" si="3"/>
        <v>1</v>
      </c>
      <c r="AD12" s="210">
        <f t="shared" si="3"/>
        <v>1</v>
      </c>
      <c r="AE12" s="195">
        <f t="shared" si="3"/>
        <v>1</v>
      </c>
      <c r="AF12" s="205"/>
      <c r="AG12" s="188"/>
      <c r="AH12" s="206"/>
      <c r="AI12" s="207"/>
      <c r="AJ12" s="208"/>
      <c r="AK12" s="209"/>
      <c r="AL12" s="209"/>
      <c r="AM12" s="208"/>
      <c r="AN12" s="209"/>
      <c r="AO12" s="209"/>
      <c r="AP12" s="201"/>
    </row>
    <row r="13" spans="1:42" s="38" customFormat="1" ht="15" customHeight="1" x14ac:dyDescent="0.2">
      <c r="A13" s="212" t="s">
        <v>74</v>
      </c>
      <c r="B13" s="40"/>
      <c r="C13" s="40"/>
      <c r="D13" s="40"/>
      <c r="E13" s="27"/>
      <c r="F13" s="40"/>
      <c r="G13" s="40"/>
      <c r="H13" s="40"/>
      <c r="I13" s="40"/>
      <c r="J13" s="27"/>
      <c r="K13" s="40"/>
      <c r="L13" s="27"/>
      <c r="M13" s="40"/>
      <c r="N13" s="40"/>
      <c r="O13" s="40"/>
      <c r="P13" s="40"/>
      <c r="Q13" s="27"/>
      <c r="R13" s="40"/>
      <c r="S13" s="27"/>
      <c r="T13" s="27"/>
      <c r="U13" s="40"/>
      <c r="V13" s="40"/>
      <c r="W13" s="40"/>
      <c r="X13" s="27"/>
      <c r="Y13" s="40"/>
      <c r="Z13" s="39"/>
      <c r="AA13" s="40"/>
      <c r="AB13" s="40"/>
      <c r="AC13" s="40"/>
      <c r="AD13" s="40"/>
      <c r="AE13" s="27"/>
      <c r="AF13" s="205" t="str">
        <f t="shared" ref="AF13:AF23" si="4">A13</f>
        <v>in</v>
      </c>
      <c r="AG13" s="188"/>
      <c r="AH13" s="206"/>
      <c r="AI13" s="207"/>
      <c r="AJ13" s="208"/>
      <c r="AK13" s="209"/>
      <c r="AL13" s="209"/>
      <c r="AM13" s="208"/>
      <c r="AN13" s="209"/>
      <c r="AO13" s="209"/>
      <c r="AP13" s="119"/>
    </row>
    <row r="14" spans="1:42" s="38" customFormat="1" ht="15" customHeight="1" x14ac:dyDescent="0.2">
      <c r="A14" s="212" t="s">
        <v>75</v>
      </c>
      <c r="B14" s="40"/>
      <c r="C14" s="40"/>
      <c r="D14" s="40"/>
      <c r="E14" s="27"/>
      <c r="F14" s="40"/>
      <c r="G14" s="40"/>
      <c r="H14" s="40"/>
      <c r="I14" s="40"/>
      <c r="J14" s="27"/>
      <c r="K14" s="40"/>
      <c r="L14" s="27"/>
      <c r="M14" s="40"/>
      <c r="N14" s="40"/>
      <c r="O14" s="40"/>
      <c r="P14" s="40"/>
      <c r="Q14" s="27"/>
      <c r="R14" s="40"/>
      <c r="S14" s="27"/>
      <c r="T14" s="27"/>
      <c r="U14" s="40"/>
      <c r="V14" s="40"/>
      <c r="W14" s="40"/>
      <c r="X14" s="27"/>
      <c r="Y14" s="40"/>
      <c r="Z14" s="39"/>
      <c r="AA14" s="40"/>
      <c r="AB14" s="40"/>
      <c r="AC14" s="40"/>
      <c r="AD14" s="40"/>
      <c r="AE14" s="27"/>
      <c r="AF14" s="205" t="str">
        <f t="shared" si="4"/>
        <v>out</v>
      </c>
      <c r="AG14" s="188"/>
      <c r="AH14" s="206"/>
      <c r="AI14" s="207"/>
      <c r="AJ14" s="208"/>
      <c r="AK14" s="209"/>
      <c r="AL14" s="209"/>
      <c r="AM14" s="208"/>
      <c r="AN14" s="209"/>
      <c r="AO14" s="209"/>
      <c r="AP14" s="119"/>
    </row>
    <row r="15" spans="1:42" s="38" customFormat="1" ht="15" customHeight="1" x14ac:dyDescent="0.2">
      <c r="A15" s="212" t="s">
        <v>74</v>
      </c>
      <c r="B15" s="40"/>
      <c r="C15" s="40"/>
      <c r="D15" s="40"/>
      <c r="E15" s="27"/>
      <c r="F15" s="40"/>
      <c r="G15" s="40"/>
      <c r="H15" s="40"/>
      <c r="I15" s="40"/>
      <c r="J15" s="27"/>
      <c r="K15" s="40"/>
      <c r="L15" s="27"/>
      <c r="M15" s="40"/>
      <c r="N15" s="40"/>
      <c r="O15" s="40"/>
      <c r="P15" s="40"/>
      <c r="Q15" s="27"/>
      <c r="R15" s="40"/>
      <c r="S15" s="27"/>
      <c r="T15" s="27"/>
      <c r="U15" s="40"/>
      <c r="V15" s="40"/>
      <c r="W15" s="40"/>
      <c r="X15" s="27"/>
      <c r="Y15" s="40"/>
      <c r="Z15" s="39"/>
      <c r="AA15" s="40"/>
      <c r="AB15" s="40"/>
      <c r="AC15" s="40"/>
      <c r="AD15" s="40"/>
      <c r="AE15" s="27"/>
      <c r="AF15" s="205" t="str">
        <f t="shared" si="4"/>
        <v>in</v>
      </c>
      <c r="AG15" s="188"/>
      <c r="AH15" s="206"/>
      <c r="AI15" s="207"/>
      <c r="AJ15" s="208"/>
      <c r="AK15" s="209"/>
      <c r="AL15" s="209"/>
      <c r="AM15" s="208"/>
      <c r="AN15" s="209"/>
      <c r="AO15" s="209"/>
      <c r="AP15" s="119"/>
    </row>
    <row r="16" spans="1:42" s="38" customFormat="1" ht="15" customHeight="1" x14ac:dyDescent="0.2">
      <c r="A16" s="212" t="s">
        <v>75</v>
      </c>
      <c r="B16" s="40"/>
      <c r="C16" s="40"/>
      <c r="D16" s="40"/>
      <c r="E16" s="27"/>
      <c r="F16" s="40"/>
      <c r="G16" s="40"/>
      <c r="H16" s="40"/>
      <c r="I16" s="40"/>
      <c r="J16" s="27"/>
      <c r="K16" s="40"/>
      <c r="L16" s="27"/>
      <c r="M16" s="40"/>
      <c r="N16" s="40"/>
      <c r="O16" s="40"/>
      <c r="P16" s="40"/>
      <c r="Q16" s="27"/>
      <c r="R16" s="40"/>
      <c r="S16" s="27"/>
      <c r="T16" s="27"/>
      <c r="U16" s="40"/>
      <c r="V16" s="40"/>
      <c r="W16" s="40"/>
      <c r="X16" s="27"/>
      <c r="Y16" s="40"/>
      <c r="Z16" s="39"/>
      <c r="AA16" s="40"/>
      <c r="AB16" s="40"/>
      <c r="AC16" s="40"/>
      <c r="AD16" s="40"/>
      <c r="AE16" s="27"/>
      <c r="AF16" s="205" t="str">
        <f t="shared" si="4"/>
        <v>out</v>
      </c>
      <c r="AG16" s="188"/>
      <c r="AH16" s="213"/>
      <c r="AI16" s="214"/>
      <c r="AJ16" s="209"/>
      <c r="AK16" s="209"/>
      <c r="AL16" s="209"/>
      <c r="AM16" s="208"/>
      <c r="AN16" s="209"/>
      <c r="AO16" s="209"/>
      <c r="AP16" s="119"/>
    </row>
    <row r="17" spans="1:42" s="38" customFormat="1" ht="15" customHeight="1" x14ac:dyDescent="0.2">
      <c r="A17" s="212" t="s">
        <v>74</v>
      </c>
      <c r="B17" s="40"/>
      <c r="C17" s="40"/>
      <c r="D17" s="40"/>
      <c r="E17" s="27"/>
      <c r="F17" s="40"/>
      <c r="G17" s="40"/>
      <c r="H17" s="40"/>
      <c r="I17" s="40"/>
      <c r="J17" s="27"/>
      <c r="K17" s="40"/>
      <c r="L17" s="27"/>
      <c r="M17" s="40"/>
      <c r="N17" s="40"/>
      <c r="O17" s="40"/>
      <c r="P17" s="40"/>
      <c r="Q17" s="27"/>
      <c r="R17" s="40"/>
      <c r="S17" s="27"/>
      <c r="T17" s="27"/>
      <c r="U17" s="40"/>
      <c r="V17" s="40"/>
      <c r="W17" s="40"/>
      <c r="X17" s="27"/>
      <c r="Y17" s="40"/>
      <c r="Z17" s="39"/>
      <c r="AA17" s="40"/>
      <c r="AB17" s="40"/>
      <c r="AC17" s="40"/>
      <c r="AD17" s="40"/>
      <c r="AE17" s="27"/>
      <c r="AF17" s="205" t="str">
        <f t="shared" si="4"/>
        <v>in</v>
      </c>
      <c r="AG17" s="188"/>
      <c r="AH17" s="213"/>
      <c r="AI17" s="214"/>
      <c r="AJ17" s="209"/>
      <c r="AK17" s="209"/>
      <c r="AL17" s="209"/>
      <c r="AM17" s="208"/>
      <c r="AN17" s="209"/>
      <c r="AO17" s="209"/>
      <c r="AP17" s="119"/>
    </row>
    <row r="18" spans="1:42" s="38" customFormat="1" ht="15" customHeight="1" x14ac:dyDescent="0.2">
      <c r="A18" s="212" t="s">
        <v>75</v>
      </c>
      <c r="B18" s="40"/>
      <c r="C18" s="40"/>
      <c r="D18" s="40"/>
      <c r="E18" s="27"/>
      <c r="F18" s="40"/>
      <c r="G18" s="40"/>
      <c r="H18" s="40"/>
      <c r="I18" s="40"/>
      <c r="J18" s="27"/>
      <c r="K18" s="40"/>
      <c r="L18" s="27"/>
      <c r="M18" s="40"/>
      <c r="N18" s="40"/>
      <c r="O18" s="40"/>
      <c r="P18" s="40"/>
      <c r="Q18" s="27"/>
      <c r="R18" s="40"/>
      <c r="S18" s="27"/>
      <c r="T18" s="27"/>
      <c r="U18" s="40"/>
      <c r="V18" s="40"/>
      <c r="W18" s="40"/>
      <c r="X18" s="27"/>
      <c r="Y18" s="40"/>
      <c r="Z18" s="39"/>
      <c r="AA18" s="40"/>
      <c r="AB18" s="40"/>
      <c r="AC18" s="40"/>
      <c r="AD18" s="40"/>
      <c r="AE18" s="27"/>
      <c r="AF18" s="205" t="str">
        <f t="shared" si="4"/>
        <v>out</v>
      </c>
      <c r="AG18" s="188"/>
      <c r="AH18" s="213"/>
      <c r="AI18" s="214"/>
      <c r="AJ18" s="209"/>
      <c r="AK18" s="209"/>
      <c r="AL18" s="209"/>
      <c r="AM18" s="208"/>
      <c r="AN18" s="209"/>
      <c r="AO18" s="209"/>
      <c r="AP18" s="119"/>
    </row>
    <row r="19" spans="1:42" s="38" customFormat="1" ht="15" hidden="1" customHeight="1" outlineLevel="1" x14ac:dyDescent="0.2">
      <c r="A19" s="212" t="s">
        <v>74</v>
      </c>
      <c r="B19" s="40"/>
      <c r="C19" s="40"/>
      <c r="D19" s="40"/>
      <c r="E19" s="27"/>
      <c r="F19" s="40"/>
      <c r="G19" s="40"/>
      <c r="H19" s="40"/>
      <c r="I19" s="40"/>
      <c r="J19" s="27"/>
      <c r="K19" s="40"/>
      <c r="L19" s="27"/>
      <c r="M19" s="40"/>
      <c r="N19" s="40"/>
      <c r="O19" s="40"/>
      <c r="P19" s="40"/>
      <c r="Q19" s="27"/>
      <c r="R19" s="40"/>
      <c r="S19" s="27"/>
      <c r="T19" s="27"/>
      <c r="U19" s="40"/>
      <c r="V19" s="40"/>
      <c r="W19" s="40"/>
      <c r="X19" s="27"/>
      <c r="Y19" s="40"/>
      <c r="Z19" s="39"/>
      <c r="AA19" s="40"/>
      <c r="AB19" s="40"/>
      <c r="AC19" s="40"/>
      <c r="AD19" s="40"/>
      <c r="AE19" s="27"/>
      <c r="AF19" s="205" t="str">
        <f t="shared" si="4"/>
        <v>in</v>
      </c>
      <c r="AG19" s="188"/>
      <c r="AH19" s="213"/>
      <c r="AI19" s="214"/>
      <c r="AJ19" s="209"/>
      <c r="AK19" s="209"/>
      <c r="AL19" s="209"/>
      <c r="AM19" s="208"/>
      <c r="AN19" s="209"/>
      <c r="AO19" s="209"/>
      <c r="AP19" s="119"/>
    </row>
    <row r="20" spans="1:42" s="38" customFormat="1" ht="15" hidden="1" customHeight="1" outlineLevel="1" x14ac:dyDescent="0.2">
      <c r="A20" s="212" t="s">
        <v>75</v>
      </c>
      <c r="B20" s="40"/>
      <c r="C20" s="40"/>
      <c r="D20" s="40"/>
      <c r="E20" s="27"/>
      <c r="F20" s="40"/>
      <c r="G20" s="40"/>
      <c r="H20" s="40"/>
      <c r="I20" s="40"/>
      <c r="J20" s="27"/>
      <c r="K20" s="40"/>
      <c r="L20" s="27"/>
      <c r="M20" s="40"/>
      <c r="N20" s="40"/>
      <c r="O20" s="40"/>
      <c r="P20" s="40"/>
      <c r="Q20" s="27"/>
      <c r="R20" s="40"/>
      <c r="S20" s="27"/>
      <c r="T20" s="27"/>
      <c r="U20" s="40"/>
      <c r="V20" s="40"/>
      <c r="W20" s="40"/>
      <c r="X20" s="27"/>
      <c r="Y20" s="40"/>
      <c r="Z20" s="39"/>
      <c r="AA20" s="40"/>
      <c r="AB20" s="40"/>
      <c r="AC20" s="40"/>
      <c r="AD20" s="40"/>
      <c r="AE20" s="27"/>
      <c r="AF20" s="205" t="str">
        <f t="shared" si="4"/>
        <v>out</v>
      </c>
      <c r="AG20" s="188"/>
      <c r="AH20" s="213"/>
      <c r="AI20" s="214"/>
      <c r="AJ20" s="209"/>
      <c r="AK20" s="209"/>
      <c r="AL20" s="209"/>
      <c r="AM20" s="208"/>
      <c r="AN20" s="209"/>
      <c r="AO20" s="209"/>
      <c r="AP20" s="119"/>
    </row>
    <row r="21" spans="1:42" s="38" customFormat="1" ht="15" hidden="1" customHeight="1" outlineLevel="1" x14ac:dyDescent="0.2">
      <c r="A21" s="212" t="s">
        <v>74</v>
      </c>
      <c r="B21" s="40"/>
      <c r="C21" s="40"/>
      <c r="D21" s="40"/>
      <c r="E21" s="27"/>
      <c r="F21" s="40"/>
      <c r="G21" s="40"/>
      <c r="H21" s="40"/>
      <c r="I21" s="40"/>
      <c r="J21" s="27"/>
      <c r="K21" s="40"/>
      <c r="L21" s="27"/>
      <c r="M21" s="40"/>
      <c r="N21" s="40"/>
      <c r="O21" s="40"/>
      <c r="P21" s="40"/>
      <c r="Q21" s="27"/>
      <c r="R21" s="40"/>
      <c r="S21" s="27"/>
      <c r="T21" s="27"/>
      <c r="U21" s="40"/>
      <c r="V21" s="40"/>
      <c r="W21" s="40"/>
      <c r="X21" s="27"/>
      <c r="Y21" s="40"/>
      <c r="Z21" s="39"/>
      <c r="AA21" s="40"/>
      <c r="AB21" s="40"/>
      <c r="AC21" s="40"/>
      <c r="AD21" s="40"/>
      <c r="AE21" s="27"/>
      <c r="AF21" s="205" t="str">
        <f t="shared" si="4"/>
        <v>in</v>
      </c>
      <c r="AG21" s="188"/>
      <c r="AH21" s="213"/>
      <c r="AI21" s="214"/>
      <c r="AJ21" s="209"/>
      <c r="AK21" s="209"/>
      <c r="AL21" s="209"/>
      <c r="AM21" s="208"/>
      <c r="AN21" s="209"/>
      <c r="AO21" s="209"/>
      <c r="AP21" s="119"/>
    </row>
    <row r="22" spans="1:42" s="38" customFormat="1" ht="15" hidden="1" customHeight="1" outlineLevel="1" x14ac:dyDescent="0.2">
      <c r="A22" s="212" t="s">
        <v>75</v>
      </c>
      <c r="B22" s="40"/>
      <c r="C22" s="40"/>
      <c r="D22" s="40"/>
      <c r="E22" s="27"/>
      <c r="F22" s="40"/>
      <c r="G22" s="40"/>
      <c r="H22" s="40"/>
      <c r="I22" s="40"/>
      <c r="J22" s="27"/>
      <c r="K22" s="40"/>
      <c r="L22" s="27"/>
      <c r="M22" s="40"/>
      <c r="N22" s="40"/>
      <c r="O22" s="40"/>
      <c r="P22" s="40"/>
      <c r="Q22" s="27"/>
      <c r="R22" s="40"/>
      <c r="S22" s="27"/>
      <c r="T22" s="27"/>
      <c r="U22" s="40"/>
      <c r="V22" s="40"/>
      <c r="W22" s="40"/>
      <c r="X22" s="27"/>
      <c r="Y22" s="40"/>
      <c r="Z22" s="39"/>
      <c r="AA22" s="40"/>
      <c r="AB22" s="40"/>
      <c r="AC22" s="40"/>
      <c r="AD22" s="40"/>
      <c r="AE22" s="27"/>
      <c r="AF22" s="205" t="str">
        <f t="shared" si="4"/>
        <v>out</v>
      </c>
      <c r="AG22" s="188"/>
      <c r="AH22" s="213"/>
      <c r="AI22" s="214"/>
      <c r="AJ22" s="209"/>
      <c r="AK22" s="209"/>
      <c r="AL22" s="209"/>
      <c r="AM22" s="208"/>
      <c r="AN22" s="209"/>
      <c r="AO22" s="209"/>
      <c r="AP22" s="119"/>
    </row>
    <row r="23" spans="1:42" s="38" customFormat="1" ht="15" customHeight="1" collapsed="1" x14ac:dyDescent="0.2">
      <c r="A23" s="215" t="s">
        <v>204</v>
      </c>
      <c r="B23" s="216">
        <f>ROUND(((B14-B13)+(B16-B15)+(B18-B17)+(B20-B19)+(B22-B21))*1440,0)/1440</f>
        <v>0</v>
      </c>
      <c r="C23" s="216">
        <f t="shared" ref="C23:AE23" si="5">ROUND(((C14-C13)+(C16-C15)+(C18-C17)+(C20-C19)+(C22-C21))*1440,0)/1440</f>
        <v>0</v>
      </c>
      <c r="D23" s="216">
        <f t="shared" si="5"/>
        <v>0</v>
      </c>
      <c r="E23" s="216">
        <f t="shared" si="5"/>
        <v>0</v>
      </c>
      <c r="F23" s="216">
        <f t="shared" si="5"/>
        <v>0</v>
      </c>
      <c r="G23" s="216">
        <f t="shared" si="5"/>
        <v>0</v>
      </c>
      <c r="H23" s="216">
        <f t="shared" si="5"/>
        <v>0</v>
      </c>
      <c r="I23" s="216">
        <f t="shared" si="5"/>
        <v>0</v>
      </c>
      <c r="J23" s="216">
        <f t="shared" si="5"/>
        <v>0</v>
      </c>
      <c r="K23" s="216">
        <f t="shared" si="5"/>
        <v>0</v>
      </c>
      <c r="L23" s="216">
        <f t="shared" si="5"/>
        <v>0</v>
      </c>
      <c r="M23" s="216">
        <f t="shared" si="5"/>
        <v>0</v>
      </c>
      <c r="N23" s="216">
        <f t="shared" si="5"/>
        <v>0</v>
      </c>
      <c r="O23" s="216">
        <f t="shared" si="5"/>
        <v>0</v>
      </c>
      <c r="P23" s="216">
        <f t="shared" si="5"/>
        <v>0</v>
      </c>
      <c r="Q23" s="216">
        <f t="shared" si="5"/>
        <v>0</v>
      </c>
      <c r="R23" s="216">
        <f t="shared" si="5"/>
        <v>0</v>
      </c>
      <c r="S23" s="216">
        <f t="shared" si="5"/>
        <v>0</v>
      </c>
      <c r="T23" s="216">
        <f t="shared" si="5"/>
        <v>0</v>
      </c>
      <c r="U23" s="216">
        <f t="shared" si="5"/>
        <v>0</v>
      </c>
      <c r="V23" s="216">
        <f t="shared" si="5"/>
        <v>0</v>
      </c>
      <c r="W23" s="216">
        <f t="shared" si="5"/>
        <v>0</v>
      </c>
      <c r="X23" s="216">
        <f t="shared" si="5"/>
        <v>0</v>
      </c>
      <c r="Y23" s="216">
        <f t="shared" si="5"/>
        <v>0</v>
      </c>
      <c r="Z23" s="216">
        <f t="shared" si="5"/>
        <v>0</v>
      </c>
      <c r="AA23" s="216">
        <f t="shared" si="5"/>
        <v>0</v>
      </c>
      <c r="AB23" s="216">
        <f t="shared" si="5"/>
        <v>0</v>
      </c>
      <c r="AC23" s="216">
        <f t="shared" si="5"/>
        <v>0</v>
      </c>
      <c r="AD23" s="216">
        <f t="shared" si="5"/>
        <v>0</v>
      </c>
      <c r="AE23" s="216">
        <f t="shared" si="5"/>
        <v>0</v>
      </c>
      <c r="AF23" s="217" t="str">
        <f t="shared" si="4"/>
        <v>Total in/out</v>
      </c>
      <c r="AG23" s="218"/>
      <c r="AH23" s="219">
        <f>SUM(B23:AE23)</f>
        <v>0</v>
      </c>
      <c r="AI23" s="214"/>
      <c r="AJ23" s="209"/>
      <c r="AK23" s="209"/>
      <c r="AL23" s="209"/>
      <c r="AM23" s="208"/>
      <c r="AN23" s="209"/>
      <c r="AO23" s="209"/>
      <c r="AP23" s="119"/>
    </row>
    <row r="24" spans="1:42" s="38" customFormat="1" ht="3.75" hidden="1" customHeight="1" outlineLevel="1" x14ac:dyDescent="0.2">
      <c r="A24" s="220"/>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05"/>
      <c r="AG24" s="188"/>
      <c r="AH24" s="213"/>
      <c r="AI24" s="214"/>
      <c r="AJ24" s="209"/>
      <c r="AK24" s="209"/>
      <c r="AL24" s="209"/>
      <c r="AM24" s="208"/>
      <c r="AN24" s="209"/>
      <c r="AO24" s="209"/>
      <c r="AP24" s="119"/>
    </row>
    <row r="25" spans="1:42" s="38" customFormat="1" ht="15" hidden="1" customHeight="1" outlineLevel="1" x14ac:dyDescent="0.2">
      <c r="A25" s="212" t="s">
        <v>164</v>
      </c>
      <c r="B25" s="40"/>
      <c r="C25" s="40"/>
      <c r="D25" s="40"/>
      <c r="E25" s="77"/>
      <c r="F25" s="40"/>
      <c r="G25" s="40"/>
      <c r="H25" s="40"/>
      <c r="I25" s="40"/>
      <c r="J25" s="40"/>
      <c r="K25" s="40"/>
      <c r="L25" s="40"/>
      <c r="M25" s="40"/>
      <c r="N25" s="40"/>
      <c r="O25" s="40"/>
      <c r="P25" s="40"/>
      <c r="Q25" s="40"/>
      <c r="R25" s="40"/>
      <c r="S25" s="40"/>
      <c r="T25" s="40"/>
      <c r="U25" s="40"/>
      <c r="V25" s="40"/>
      <c r="W25" s="40"/>
      <c r="X25" s="40"/>
      <c r="Y25" s="40"/>
      <c r="Z25" s="47"/>
      <c r="AA25" s="40"/>
      <c r="AB25" s="40"/>
      <c r="AC25" s="40"/>
      <c r="AD25" s="40"/>
      <c r="AE25" s="40"/>
      <c r="AF25" s="205" t="str">
        <f t="shared" ref="AF25:AF30" si="6">A25</f>
        <v>paid break in</v>
      </c>
      <c r="AG25" s="188"/>
      <c r="AH25" s="213"/>
      <c r="AI25" s="214"/>
      <c r="AJ25" s="209"/>
      <c r="AK25" s="209"/>
      <c r="AL25" s="209"/>
      <c r="AM25" s="208"/>
      <c r="AN25" s="209"/>
      <c r="AO25" s="209"/>
      <c r="AP25" s="119"/>
    </row>
    <row r="26" spans="1:42" s="38" customFormat="1" ht="15" hidden="1" customHeight="1" outlineLevel="1" x14ac:dyDescent="0.2">
      <c r="A26" s="212" t="s">
        <v>165</v>
      </c>
      <c r="B26" s="40"/>
      <c r="C26" s="40"/>
      <c r="D26" s="40"/>
      <c r="E26" s="40"/>
      <c r="F26" s="40"/>
      <c r="G26" s="40"/>
      <c r="H26" s="40"/>
      <c r="I26" s="40"/>
      <c r="J26" s="40"/>
      <c r="K26" s="40"/>
      <c r="L26" s="40"/>
      <c r="M26" s="40"/>
      <c r="N26" s="40"/>
      <c r="O26" s="40"/>
      <c r="P26" s="40"/>
      <c r="Q26" s="40"/>
      <c r="R26" s="40"/>
      <c r="S26" s="40"/>
      <c r="T26" s="40"/>
      <c r="U26" s="40"/>
      <c r="V26" s="40"/>
      <c r="W26" s="40"/>
      <c r="X26" s="40"/>
      <c r="Y26" s="40"/>
      <c r="Z26" s="47"/>
      <c r="AA26" s="40"/>
      <c r="AB26" s="40"/>
      <c r="AC26" s="40"/>
      <c r="AD26" s="40"/>
      <c r="AE26" s="40"/>
      <c r="AF26" s="205" t="str">
        <f t="shared" si="6"/>
        <v>paid break out</v>
      </c>
      <c r="AG26" s="188"/>
      <c r="AH26" s="213"/>
      <c r="AI26" s="214"/>
      <c r="AJ26" s="209"/>
      <c r="AK26" s="209"/>
      <c r="AL26" s="209"/>
      <c r="AM26" s="208"/>
      <c r="AN26" s="209"/>
      <c r="AO26" s="209"/>
      <c r="AP26" s="119"/>
    </row>
    <row r="27" spans="1:42" s="38" customFormat="1" ht="15" hidden="1" customHeight="1" outlineLevel="1" x14ac:dyDescent="0.2">
      <c r="A27" s="212" t="s">
        <v>164</v>
      </c>
      <c r="B27" s="40"/>
      <c r="C27" s="40"/>
      <c r="D27" s="40"/>
      <c r="E27" s="40"/>
      <c r="F27" s="40"/>
      <c r="G27" s="40"/>
      <c r="H27" s="40"/>
      <c r="I27" s="40"/>
      <c r="J27" s="40"/>
      <c r="K27" s="40"/>
      <c r="L27" s="40"/>
      <c r="M27" s="40"/>
      <c r="N27" s="40"/>
      <c r="O27" s="40"/>
      <c r="P27" s="40"/>
      <c r="Q27" s="40"/>
      <c r="R27" s="40"/>
      <c r="S27" s="40"/>
      <c r="T27" s="40"/>
      <c r="U27" s="40"/>
      <c r="V27" s="40"/>
      <c r="W27" s="40"/>
      <c r="X27" s="40"/>
      <c r="Y27" s="40"/>
      <c r="Z27" s="47"/>
      <c r="AA27" s="40"/>
      <c r="AB27" s="40"/>
      <c r="AC27" s="40"/>
      <c r="AD27" s="40"/>
      <c r="AE27" s="40"/>
      <c r="AF27" s="205" t="str">
        <f t="shared" si="6"/>
        <v>paid break in</v>
      </c>
      <c r="AG27" s="188"/>
      <c r="AH27" s="213"/>
      <c r="AI27" s="214"/>
      <c r="AJ27" s="209"/>
      <c r="AK27" s="209"/>
      <c r="AL27" s="209"/>
      <c r="AM27" s="208"/>
      <c r="AN27" s="209"/>
      <c r="AO27" s="209"/>
      <c r="AP27" s="119"/>
    </row>
    <row r="28" spans="1:42" s="38" customFormat="1" ht="15" hidden="1" customHeight="1" outlineLevel="1" x14ac:dyDescent="0.2">
      <c r="A28" s="212" t="s">
        <v>165</v>
      </c>
      <c r="B28" s="40"/>
      <c r="C28" s="40"/>
      <c r="D28" s="40"/>
      <c r="E28" s="40"/>
      <c r="F28" s="40"/>
      <c r="G28" s="40"/>
      <c r="H28" s="40"/>
      <c r="I28" s="40"/>
      <c r="J28" s="40"/>
      <c r="K28" s="40"/>
      <c r="L28" s="40"/>
      <c r="M28" s="40"/>
      <c r="N28" s="40"/>
      <c r="O28" s="40"/>
      <c r="P28" s="40"/>
      <c r="Q28" s="40"/>
      <c r="R28" s="40"/>
      <c r="S28" s="40"/>
      <c r="T28" s="40"/>
      <c r="U28" s="40"/>
      <c r="V28" s="40"/>
      <c r="W28" s="40"/>
      <c r="X28" s="40"/>
      <c r="Y28" s="40"/>
      <c r="Z28" s="47"/>
      <c r="AA28" s="40"/>
      <c r="AB28" s="40"/>
      <c r="AC28" s="40"/>
      <c r="AD28" s="40"/>
      <c r="AE28" s="40"/>
      <c r="AF28" s="205" t="str">
        <f t="shared" si="6"/>
        <v>paid break out</v>
      </c>
      <c r="AG28" s="188"/>
      <c r="AH28" s="213"/>
      <c r="AI28" s="214"/>
      <c r="AJ28" s="209"/>
      <c r="AK28" s="209"/>
      <c r="AL28" s="209"/>
      <c r="AM28" s="208"/>
      <c r="AN28" s="209"/>
      <c r="AO28" s="209"/>
      <c r="AP28" s="119"/>
    </row>
    <row r="29" spans="1:42" s="38" customFormat="1" ht="15" hidden="1" customHeight="1" outlineLevel="1" x14ac:dyDescent="0.2">
      <c r="A29" s="212" t="s">
        <v>164</v>
      </c>
      <c r="B29" s="40"/>
      <c r="C29" s="40"/>
      <c r="D29" s="40"/>
      <c r="E29" s="40"/>
      <c r="F29" s="40"/>
      <c r="G29" s="40"/>
      <c r="H29" s="40"/>
      <c r="I29" s="40"/>
      <c r="J29" s="40"/>
      <c r="K29" s="40"/>
      <c r="L29" s="40"/>
      <c r="M29" s="40"/>
      <c r="N29" s="40"/>
      <c r="O29" s="40"/>
      <c r="P29" s="40"/>
      <c r="Q29" s="40"/>
      <c r="R29" s="40"/>
      <c r="S29" s="40"/>
      <c r="T29" s="40"/>
      <c r="U29" s="40"/>
      <c r="V29" s="40"/>
      <c r="W29" s="40"/>
      <c r="X29" s="40"/>
      <c r="Y29" s="40"/>
      <c r="Z29" s="47"/>
      <c r="AA29" s="40"/>
      <c r="AB29" s="40"/>
      <c r="AC29" s="40"/>
      <c r="AD29" s="40"/>
      <c r="AE29" s="40"/>
      <c r="AF29" s="205" t="str">
        <f t="shared" si="6"/>
        <v>paid break in</v>
      </c>
      <c r="AG29" s="188"/>
      <c r="AH29" s="213"/>
      <c r="AI29" s="214"/>
      <c r="AJ29" s="209"/>
      <c r="AK29" s="209"/>
      <c r="AL29" s="209"/>
      <c r="AM29" s="208"/>
      <c r="AN29" s="209"/>
      <c r="AO29" s="209"/>
      <c r="AP29" s="119"/>
    </row>
    <row r="30" spans="1:42" s="38" customFormat="1" ht="15" hidden="1" customHeight="1" outlineLevel="1" x14ac:dyDescent="0.2">
      <c r="A30" s="212" t="s">
        <v>165</v>
      </c>
      <c r="B30" s="40"/>
      <c r="C30" s="40"/>
      <c r="D30" s="40"/>
      <c r="E30" s="40"/>
      <c r="F30" s="40"/>
      <c r="G30" s="40"/>
      <c r="H30" s="40"/>
      <c r="I30" s="40"/>
      <c r="J30" s="40"/>
      <c r="K30" s="40"/>
      <c r="L30" s="40"/>
      <c r="M30" s="40"/>
      <c r="N30" s="40"/>
      <c r="O30" s="40"/>
      <c r="P30" s="40"/>
      <c r="Q30" s="40"/>
      <c r="R30" s="40"/>
      <c r="S30" s="40"/>
      <c r="T30" s="40"/>
      <c r="U30" s="40"/>
      <c r="V30" s="40"/>
      <c r="W30" s="40"/>
      <c r="X30" s="40"/>
      <c r="Y30" s="40"/>
      <c r="Z30" s="47"/>
      <c r="AA30" s="40"/>
      <c r="AB30" s="40"/>
      <c r="AC30" s="40"/>
      <c r="AD30" s="40"/>
      <c r="AE30" s="40"/>
      <c r="AF30" s="205" t="str">
        <f t="shared" si="6"/>
        <v>paid break out</v>
      </c>
      <c r="AG30" s="188"/>
      <c r="AH30" s="213"/>
      <c r="AI30" s="214"/>
      <c r="AJ30" s="209"/>
      <c r="AK30" s="209"/>
      <c r="AL30" s="209"/>
      <c r="AM30" s="208"/>
      <c r="AN30" s="209"/>
      <c r="AO30" s="209"/>
      <c r="AP30" s="119"/>
    </row>
    <row r="31" spans="1:42" s="38" customFormat="1" ht="3.75" hidden="1" customHeight="1" outlineLevel="1" x14ac:dyDescent="0.2">
      <c r="A31" s="220"/>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05"/>
      <c r="AG31" s="188"/>
      <c r="AH31" s="213"/>
      <c r="AI31" s="214"/>
      <c r="AJ31" s="209"/>
      <c r="AK31" s="209"/>
      <c r="AL31" s="209"/>
      <c r="AM31" s="208"/>
      <c r="AN31" s="209"/>
      <c r="AO31" s="209"/>
      <c r="AP31" s="119"/>
    </row>
    <row r="32" spans="1:42" s="38" customFormat="1" ht="15" hidden="1" customHeight="1" outlineLevel="1" x14ac:dyDescent="0.2">
      <c r="A32" s="215" t="s">
        <v>205</v>
      </c>
      <c r="B32" s="225">
        <f>ROUND((IF(MAX(0,B15-B14)&lt;1/24/60*180,MAX(0,B15-B14),0)+IF(MAX(0,B17-B16)&lt;1/24/60*180,MAX(0,B17-B16),0)+IF(MAX(0,B19-B18)&lt;1/24/60*180,MAX(0,B19-B18),0)+IF(MAX(0,B21-B20)&lt;1/24/60*180,MAX(0,B21-B20))+MAX(0,B26-B25)+MAX(0,B28-B27)+MAX(0,B30-B29))*1440,0)/1440</f>
        <v>0</v>
      </c>
      <c r="C32" s="225">
        <f t="shared" ref="C32:AE32" si="7">ROUND((IF(MAX(0,C15-C14)&lt;1/24/60*180,MAX(0,C15-C14),0)+IF(MAX(0,C17-C16)&lt;1/24/60*180,MAX(0,C17-C16),0)+IF(MAX(0,C19-C18)&lt;1/24/60*180,MAX(0,C19-C18),0)+IF(MAX(0,C21-C20)&lt;1/24/60*180,MAX(0,C21-C20))+MAX(0,C26-C25)+MAX(0,C28-C27)+MAX(0,C30-C29))*1440,0)/1440</f>
        <v>0</v>
      </c>
      <c r="D32" s="225">
        <f t="shared" si="7"/>
        <v>0</v>
      </c>
      <c r="E32" s="225">
        <f t="shared" si="7"/>
        <v>0</v>
      </c>
      <c r="F32" s="225">
        <f t="shared" si="7"/>
        <v>0</v>
      </c>
      <c r="G32" s="225">
        <f t="shared" si="7"/>
        <v>0</v>
      </c>
      <c r="H32" s="225">
        <f t="shared" si="7"/>
        <v>0</v>
      </c>
      <c r="I32" s="225">
        <f t="shared" si="7"/>
        <v>0</v>
      </c>
      <c r="J32" s="225">
        <f t="shared" si="7"/>
        <v>0</v>
      </c>
      <c r="K32" s="225">
        <f t="shared" si="7"/>
        <v>0</v>
      </c>
      <c r="L32" s="225">
        <f t="shared" si="7"/>
        <v>0</v>
      </c>
      <c r="M32" s="225">
        <f t="shared" si="7"/>
        <v>0</v>
      </c>
      <c r="N32" s="225">
        <f t="shared" si="7"/>
        <v>0</v>
      </c>
      <c r="O32" s="225">
        <f t="shared" si="7"/>
        <v>0</v>
      </c>
      <c r="P32" s="225">
        <f t="shared" si="7"/>
        <v>0</v>
      </c>
      <c r="Q32" s="225">
        <f t="shared" si="7"/>
        <v>0</v>
      </c>
      <c r="R32" s="225">
        <f t="shared" si="7"/>
        <v>0</v>
      </c>
      <c r="S32" s="225">
        <f t="shared" si="7"/>
        <v>0</v>
      </c>
      <c r="T32" s="225">
        <f t="shared" si="7"/>
        <v>0</v>
      </c>
      <c r="U32" s="225">
        <f t="shared" si="7"/>
        <v>0</v>
      </c>
      <c r="V32" s="225">
        <f t="shared" si="7"/>
        <v>0</v>
      </c>
      <c r="W32" s="225">
        <f t="shared" si="7"/>
        <v>0</v>
      </c>
      <c r="X32" s="225">
        <f t="shared" si="7"/>
        <v>0</v>
      </c>
      <c r="Y32" s="225">
        <f t="shared" si="7"/>
        <v>0</v>
      </c>
      <c r="Z32" s="225">
        <f t="shared" si="7"/>
        <v>0</v>
      </c>
      <c r="AA32" s="225">
        <f t="shared" si="7"/>
        <v>0</v>
      </c>
      <c r="AB32" s="225">
        <f t="shared" si="7"/>
        <v>0</v>
      </c>
      <c r="AC32" s="225">
        <f t="shared" si="7"/>
        <v>0</v>
      </c>
      <c r="AD32" s="225">
        <f t="shared" si="7"/>
        <v>0</v>
      </c>
      <c r="AE32" s="225">
        <f t="shared" si="7"/>
        <v>0</v>
      </c>
      <c r="AF32" s="217" t="str">
        <f>A32</f>
        <v>Total breaks (in out/paid)</v>
      </c>
      <c r="AG32" s="218"/>
      <c r="AH32" s="219">
        <f>SUM(B32:AE32)</f>
        <v>0</v>
      </c>
      <c r="AI32" s="214"/>
      <c r="AJ32" s="209"/>
      <c r="AK32" s="209"/>
      <c r="AL32" s="209"/>
      <c r="AM32" s="208"/>
      <c r="AN32" s="209"/>
      <c r="AO32" s="209"/>
      <c r="AP32" s="119"/>
    </row>
    <row r="33" spans="1:42" s="38" customFormat="1" ht="3.75" customHeight="1" collapsed="1" x14ac:dyDescent="0.2">
      <c r="A33" s="220"/>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05"/>
      <c r="AG33" s="188"/>
      <c r="AH33" s="213"/>
      <c r="AI33" s="214"/>
      <c r="AJ33" s="209"/>
      <c r="AK33" s="209"/>
      <c r="AL33" s="209"/>
      <c r="AM33" s="208"/>
      <c r="AN33" s="209"/>
      <c r="AO33" s="209"/>
      <c r="AP33" s="119"/>
    </row>
    <row r="34" spans="1:42" s="38" customFormat="1" ht="15" customHeight="1" outlineLevel="1" x14ac:dyDescent="0.2">
      <c r="A34" s="212" t="s">
        <v>206</v>
      </c>
      <c r="B34" s="92" t="str">
        <f ca="1">IF(EB.Anwendung&lt;&gt;"",IF(EB.Wochenarbeitszeit=50/24,INDEX(T.Pikett.Bereich,1),IF(DAY(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34="B",INDEX(T.Pikett.Bereich,4),IF(A34="E",INDEX(T.Pikett.Bereich,1),A34)))),"")</f>
        <v>No</v>
      </c>
      <c r="C34" s="92" t="str">
        <f ca="1">IF(EB.Anwendung&lt;&gt;"",IF(EB.Wochenarbeitszeit=50/24,INDEX(T.Pikett.Bereich,1),IF(DAY(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B34="B",INDEX(T.Pikett.Bereich,4),IF(B34="E",INDEX(T.Pikett.Bereich,1),B34)))),"")</f>
        <v>No</v>
      </c>
      <c r="D34" s="92" t="str">
        <f ca="1">IF(EB.Anwendung&lt;&gt;"",IF(EB.Wochenarbeitszeit=50/24,INDEX(T.Pikett.Bereich,1),IF(DAY(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C34="B",INDEX(T.Pikett.Bereich,4),IF(C34="E",INDEX(T.Pikett.Bereich,1),C34)))),"")</f>
        <v>No</v>
      </c>
      <c r="E34" s="92" t="str">
        <f ca="1">IF(EB.Anwendung&lt;&gt;"",IF(EB.Wochenarbeitszeit=50/24,INDEX(T.Pikett.Bereich,1),IF(DAY(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D34="B",INDEX(T.Pikett.Bereich,4),IF(D34="E",INDEX(T.Pikett.Bereich,1),D34)))),"")</f>
        <v>No</v>
      </c>
      <c r="F34" s="92" t="str">
        <f ca="1">IF(EB.Anwendung&lt;&gt;"",IF(EB.Wochenarbeitszeit=50/24,INDEX(T.Pikett.Bereich,1),IF(DAY(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E34="B",INDEX(T.Pikett.Bereich,4),IF(E34="E",INDEX(T.Pikett.Bereich,1),E34)))),"")</f>
        <v>No</v>
      </c>
      <c r="G34" s="92" t="str">
        <f ca="1">IF(EB.Anwendung&lt;&gt;"",IF(EB.Wochenarbeitszeit=50/24,INDEX(T.Pikett.Bereich,1),IF(DAY(G$10)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F34="B",INDEX(T.Pikett.Bereich,4),IF(F34="E",INDEX(T.Pikett.Bereich,1),F34)))),"")</f>
        <v>No</v>
      </c>
      <c r="H34" s="92" t="str">
        <f ca="1">IF(EB.Anwendung&lt;&gt;"",IF(EB.Wochenarbeitszeit=50/24,INDEX(T.Pikett.Bereich,1),IF(DAY(H$10)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G34="B",INDEX(T.Pikett.Bereich,4),IF(G34="E",INDEX(T.Pikett.Bereich,1),G34)))),"")</f>
        <v>No</v>
      </c>
      <c r="I34" s="92" t="str">
        <f ca="1">IF(EB.Anwendung&lt;&gt;"",IF(EB.Wochenarbeitszeit=50/24,INDEX(T.Pikett.Bereich,1),IF(DAY(I$10)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H34="B",INDEX(T.Pikett.Bereich,4),IF(H34="E",INDEX(T.Pikett.Bereich,1),H34)))),"")</f>
        <v>No</v>
      </c>
      <c r="J34" s="92" t="str">
        <f ca="1">IF(EB.Anwendung&lt;&gt;"",IF(EB.Wochenarbeitszeit=50/24,INDEX(T.Pikett.Bereich,1),IF(DAY(J$10)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I34="B",INDEX(T.Pikett.Bereich,4),IF(I34="E",INDEX(T.Pikett.Bereich,1),I34)))),"")</f>
        <v>No</v>
      </c>
      <c r="K34" s="92" t="str">
        <f ca="1">IF(EB.Anwendung&lt;&gt;"",IF(EB.Wochenarbeitszeit=50/24,INDEX(T.Pikett.Bereich,1),IF(DAY(K$10)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J34="B",INDEX(T.Pikett.Bereich,4),IF(J34="E",INDEX(T.Pikett.Bereich,1),J34)))),"")</f>
        <v>No</v>
      </c>
      <c r="L34" s="92" t="str">
        <f ca="1">IF(EB.Anwendung&lt;&gt;"",IF(EB.Wochenarbeitszeit=50/24,INDEX(T.Pikett.Bereich,1),IF(DAY(L$10)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K34="B",INDEX(T.Pikett.Bereich,4),IF(K34="E",INDEX(T.Pikett.Bereich,1),K34)))),"")</f>
        <v>No</v>
      </c>
      <c r="M34" s="92" t="str">
        <f ca="1">IF(EB.Anwendung&lt;&gt;"",IF(EB.Wochenarbeitszeit=50/24,INDEX(T.Pikett.Bereich,1),IF(DAY(M$10)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L34="B",INDEX(T.Pikett.Bereich,4),IF(L34="E",INDEX(T.Pikett.Bereich,1),L34)))),"")</f>
        <v>No</v>
      </c>
      <c r="N34" s="92" t="str">
        <f ca="1">IF(EB.Anwendung&lt;&gt;"",IF(EB.Wochenarbeitszeit=50/24,INDEX(T.Pikett.Bereich,1),IF(DAY(N$10)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M34="B",INDEX(T.Pikett.Bereich,4),IF(M34="E",INDEX(T.Pikett.Bereich,1),M34)))),"")</f>
        <v>No</v>
      </c>
      <c r="O34" s="92" t="str">
        <f ca="1">IF(EB.Anwendung&lt;&gt;"",IF(EB.Wochenarbeitszeit=50/24,INDEX(T.Pikett.Bereich,1),IF(DAY(O$10)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N34="B",INDEX(T.Pikett.Bereich,4),IF(N34="E",INDEX(T.Pikett.Bereich,1),N34)))),"")</f>
        <v>No</v>
      </c>
      <c r="P34" s="92" t="str">
        <f ca="1">IF(EB.Anwendung&lt;&gt;"",IF(EB.Wochenarbeitszeit=50/24,INDEX(T.Pikett.Bereich,1),IF(DAY(P$10)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O34="B",INDEX(T.Pikett.Bereich,4),IF(O34="E",INDEX(T.Pikett.Bereich,1),O34)))),"")</f>
        <v>No</v>
      </c>
      <c r="Q34" s="92" t="str">
        <f ca="1">IF(EB.Anwendung&lt;&gt;"",IF(EB.Wochenarbeitszeit=50/24,INDEX(T.Pikett.Bereich,1),IF(DAY(Q$10)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P34="B",INDEX(T.Pikett.Bereich,4),IF(P34="E",INDEX(T.Pikett.Bereich,1),P34)))),"")</f>
        <v>No</v>
      </c>
      <c r="R34" s="92" t="str">
        <f ca="1">IF(EB.Anwendung&lt;&gt;"",IF(EB.Wochenarbeitszeit=50/24,INDEX(T.Pikett.Bereich,1),IF(DAY(R$10)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Q34="B",INDEX(T.Pikett.Bereich,4),IF(Q34="E",INDEX(T.Pikett.Bereich,1),Q34)))),"")</f>
        <v>No</v>
      </c>
      <c r="S34" s="92" t="str">
        <f ca="1">IF(EB.Anwendung&lt;&gt;"",IF(EB.Wochenarbeitszeit=50/24,INDEX(T.Pikett.Bereich,1),IF(DAY(S$10)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R34="B",INDEX(T.Pikett.Bereich,4),IF(R34="E",INDEX(T.Pikett.Bereich,1),R34)))),"")</f>
        <v>No</v>
      </c>
      <c r="T34" s="92" t="str">
        <f ca="1">IF(EB.Anwendung&lt;&gt;"",IF(EB.Wochenarbeitszeit=50/24,INDEX(T.Pikett.Bereich,1),IF(DAY(T$10)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S34="B",INDEX(T.Pikett.Bereich,4),IF(S34="E",INDEX(T.Pikett.Bereich,1),S34)))),"")</f>
        <v>No</v>
      </c>
      <c r="U34" s="92" t="str">
        <f ca="1">IF(EB.Anwendung&lt;&gt;"",IF(EB.Wochenarbeitszeit=50/24,INDEX(T.Pikett.Bereich,1),IF(DAY(U$10)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T34="B",INDEX(T.Pikett.Bereich,4),IF(T34="E",INDEX(T.Pikett.Bereich,1),T34)))),"")</f>
        <v>No</v>
      </c>
      <c r="V34" s="92" t="str">
        <f ca="1">IF(EB.Anwendung&lt;&gt;"",IF(EB.Wochenarbeitszeit=50/24,INDEX(T.Pikett.Bereich,1),IF(DAY(V$10)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U34="B",INDEX(T.Pikett.Bereich,4),IF(U34="E",INDEX(T.Pikett.Bereich,1),U34)))),"")</f>
        <v>No</v>
      </c>
      <c r="W34" s="92" t="str">
        <f ca="1">IF(EB.Anwendung&lt;&gt;"",IF(EB.Wochenarbeitszeit=50/24,INDEX(T.Pikett.Bereich,1),IF(DAY(W$10)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V34="B",INDEX(T.Pikett.Bereich,4),IF(V34="E",INDEX(T.Pikett.Bereich,1),V34)))),"")</f>
        <v>No</v>
      </c>
      <c r="X34" s="92" t="str">
        <f ca="1">IF(EB.Anwendung&lt;&gt;"",IF(EB.Wochenarbeitszeit=50/24,INDEX(T.Pikett.Bereich,1),IF(DAY(X$10)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W34="B",INDEX(T.Pikett.Bereich,4),IF(W34="E",INDEX(T.Pikett.Bereich,1),W34)))),"")</f>
        <v>No</v>
      </c>
      <c r="Y34" s="92" t="str">
        <f ca="1">IF(EB.Anwendung&lt;&gt;"",IF(EB.Wochenarbeitszeit=50/24,INDEX(T.Pikett.Bereich,1),IF(DAY(Y$10)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X34="B",INDEX(T.Pikett.Bereich,4),IF(X34="E",INDEX(T.Pikett.Bereich,1),X34)))),"")</f>
        <v>No</v>
      </c>
      <c r="Z34" s="92" t="str">
        <f ca="1">IF(EB.Anwendung&lt;&gt;"",IF(EB.Wochenarbeitszeit=50/24,INDEX(T.Pikett.Bereich,1),IF(DAY(Z$10)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Y34="B",INDEX(T.Pikett.Bereich,4),IF(Y34="E",INDEX(T.Pikett.Bereich,1),Y34)))),"")</f>
        <v>No</v>
      </c>
      <c r="AA34" s="92" t="str">
        <f ca="1">IF(EB.Anwendung&lt;&gt;"",IF(EB.Wochenarbeitszeit=50/24,INDEX(T.Pikett.Bereich,1),IF(DAY(AA$10)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Z34="B",INDEX(T.Pikett.Bereich,4),IF(Z34="E",INDEX(T.Pikett.Bereich,1),Z34)))),"")</f>
        <v>No</v>
      </c>
      <c r="AB34" s="92" t="str">
        <f ca="1">IF(EB.Anwendung&lt;&gt;"",IF(EB.Wochenarbeitszeit=50/24,INDEX(T.Pikett.Bereich,1),IF(DAY(A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A34="B",INDEX(T.Pikett.Bereich,4),IF(AA34="E",INDEX(T.Pikett.Bereich,1),AA34)))),"")</f>
        <v>No</v>
      </c>
      <c r="AC34" s="92" t="str">
        <f ca="1">IF(EB.Anwendung&lt;&gt;"",IF(EB.Wochenarbeitszeit=50/24,INDEX(T.Pikett.Bereich,1),IF(DAY(A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B34="B",INDEX(T.Pikett.Bereich,4),IF(AB34="E",INDEX(T.Pikett.Bereich,1),AB34)))),"")</f>
        <v>No</v>
      </c>
      <c r="AD34" s="92" t="str">
        <f ca="1">IF(EB.Anwendung&lt;&gt;"",IF(EB.Wochenarbeitszeit=50/24,INDEX(T.Pikett.Bereich,1),IF(DAY(A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C34="B",INDEX(T.Pikett.Bereich,4),IF(AC34="E",INDEX(T.Pikett.Bereich,1),AC34)))),"")</f>
        <v>No</v>
      </c>
      <c r="AE34" s="92" t="str">
        <f ca="1">IF(EB.Anwendung&lt;&gt;"",IF(EB.Wochenarbeitszeit=50/24,INDEX(T.Pikett.Bereich,1),IF(DAY(A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D34="B",INDEX(T.Pikett.Bereich,4),IF(AD34="E",INDEX(T.Pikett.Bereich,1),AD34)))),"")</f>
        <v>No</v>
      </c>
      <c r="AF34" s="217" t="str">
        <f ca="1">IF(OFFSET(B34,0,DAY(EOMONTH(Monat.Tag1,0))-1,1,1)="B",INDEX(T.Pikett.Bereich,4),IF(OFFSET(B34,0,DAY(EOMONTH(Monat.Tag1,0))-1,1,1)="E",INDEX(T.Pikett.Bereich,1),OFFSET(B34,0,DAY(EOMONTH(Monat.Tag1,0))-1,1,1)))</f>
        <v>No</v>
      </c>
      <c r="AG34" s="228"/>
      <c r="AH34" s="224"/>
      <c r="AI34" s="229" t="str">
        <f ca="1">IF(T.50_Vetsuisse,IFERROR(SUMPRODUCT((B34:AE34=INDEX(T.Pikett.Bereich,4))*((B49:AE49)&lt;1/24*5)),0) &amp; " / " &amp; IFERROR(SUMPRODUCT((B34:AE34=INDEX(T.Pikett.Bereich,4))*((B49:AE49)&gt;=1/24*5)),0) &amp; " / " &amp; IFERROR(SUMPRODUCT((B34:AE34=INDEX(T.Pikett.Bereich,4))*((B49:AE49)&lt;1/24*5)),0) + IFERROR(SUMPRODUCT((B34:AE34=INDEX(T.Pikett.Bereich,4))*((B49:AE49)&gt;=1/24*5)),0),
IFERROR(SUMPRODUCT((B34:AE34=INDEX(T.Pikett.Bereich,4))*(WEEKDAY(B10:AE10,2)&lt;6)*(B11:AE11&lt;&gt;0)),0) &amp; " / " &amp; IFERROR(SUMPRODUCT((B34:AE34=INDEX(T.Pikett.Bereich,4))*(WEEKDAY(B10:AE10,2)&gt;5)*(B11:AE11&lt;&gt;0))+SUMPRODUCT((B34:AE34=INDEX(T.Pikett.Bereich,4))*(B11:AE11=0)),0) &amp; " / " &amp; IFERROR(SUMPRODUCT((B34:AE34=INDEX(T.Pikett.Bereich,4))*(WEEKDAY(B10:AE10,2)&lt;6)*(B11:AE11&lt;&gt;0)),0) + IFERROR(SUMPRODUCT((B34:AE34=INDEX(T.Pikett.Bereich,4))*(WEEKDAY(B10:AE10,2)&gt;5)*(B11:AE11&lt;&gt;0))+SUMPRODUCT((B34:AE34=INDEX(T.Pikett.Bereich,4))*(B11:AE11=0)),0))</f>
        <v>0 / 0 / 0</v>
      </c>
      <c r="AJ34" s="209"/>
      <c r="AK34" s="209"/>
      <c r="AL34" s="209"/>
      <c r="AM34" s="208"/>
      <c r="AN34" s="209"/>
      <c r="AO34" s="209"/>
      <c r="AP34" s="119"/>
    </row>
    <row r="35" spans="1:42" s="38" customFormat="1" ht="15" customHeight="1" outlineLevel="1" x14ac:dyDescent="0.2">
      <c r="A35" s="212" t="s">
        <v>74</v>
      </c>
      <c r="B35" s="40"/>
      <c r="C35" s="40"/>
      <c r="D35" s="40"/>
      <c r="E35" s="27"/>
      <c r="F35" s="40"/>
      <c r="G35" s="40"/>
      <c r="H35" s="40"/>
      <c r="I35" s="40"/>
      <c r="J35" s="27"/>
      <c r="K35" s="40"/>
      <c r="L35" s="27"/>
      <c r="M35" s="40"/>
      <c r="N35" s="40"/>
      <c r="O35" s="40"/>
      <c r="P35" s="40"/>
      <c r="Q35" s="27"/>
      <c r="R35" s="40"/>
      <c r="S35" s="27"/>
      <c r="T35" s="27"/>
      <c r="U35" s="40"/>
      <c r="V35" s="40"/>
      <c r="W35" s="40"/>
      <c r="X35" s="27"/>
      <c r="Y35" s="40"/>
      <c r="Z35" s="39"/>
      <c r="AA35" s="40"/>
      <c r="AB35" s="40"/>
      <c r="AC35" s="40"/>
      <c r="AD35" s="40"/>
      <c r="AE35" s="27"/>
      <c r="AF35" s="205" t="str">
        <f t="shared" ref="AF35:AF45" si="8">A35</f>
        <v>in</v>
      </c>
      <c r="AG35" s="188"/>
      <c r="AH35" s="213"/>
      <c r="AI35" s="214"/>
      <c r="AJ35" s="209"/>
      <c r="AK35" s="209"/>
      <c r="AL35" s="209"/>
      <c r="AM35" s="208"/>
      <c r="AN35" s="209"/>
      <c r="AO35" s="209"/>
      <c r="AP35" s="119"/>
    </row>
    <row r="36" spans="1:42" s="38" customFormat="1" ht="15" customHeight="1" outlineLevel="1" x14ac:dyDescent="0.2">
      <c r="A36" s="212" t="s">
        <v>75</v>
      </c>
      <c r="B36" s="40"/>
      <c r="C36" s="40"/>
      <c r="D36" s="40"/>
      <c r="E36" s="27"/>
      <c r="F36" s="40"/>
      <c r="G36" s="40"/>
      <c r="H36" s="40"/>
      <c r="I36" s="40"/>
      <c r="J36" s="27"/>
      <c r="K36" s="40"/>
      <c r="L36" s="27"/>
      <c r="M36" s="40"/>
      <c r="N36" s="40"/>
      <c r="O36" s="40"/>
      <c r="P36" s="40"/>
      <c r="Q36" s="27"/>
      <c r="R36" s="40"/>
      <c r="S36" s="27"/>
      <c r="T36" s="27"/>
      <c r="U36" s="40"/>
      <c r="V36" s="40"/>
      <c r="W36" s="40"/>
      <c r="X36" s="27"/>
      <c r="Y36" s="40"/>
      <c r="Z36" s="39"/>
      <c r="AA36" s="40"/>
      <c r="AB36" s="40"/>
      <c r="AC36" s="40"/>
      <c r="AD36" s="40"/>
      <c r="AE36" s="27"/>
      <c r="AF36" s="205" t="str">
        <f t="shared" si="8"/>
        <v>out</v>
      </c>
      <c r="AG36" s="188"/>
      <c r="AH36" s="213"/>
      <c r="AI36" s="214"/>
      <c r="AJ36" s="209"/>
      <c r="AK36" s="209"/>
      <c r="AL36" s="209"/>
      <c r="AM36" s="208"/>
      <c r="AN36" s="209"/>
      <c r="AO36" s="209"/>
      <c r="AP36" s="119"/>
    </row>
    <row r="37" spans="1:42" s="38" customFormat="1" ht="15" customHeight="1" outlineLevel="1" x14ac:dyDescent="0.2">
      <c r="A37" s="212" t="s">
        <v>74</v>
      </c>
      <c r="B37" s="40"/>
      <c r="C37" s="40"/>
      <c r="D37" s="40"/>
      <c r="E37" s="27"/>
      <c r="F37" s="40"/>
      <c r="G37" s="40"/>
      <c r="H37" s="40"/>
      <c r="I37" s="40"/>
      <c r="J37" s="27"/>
      <c r="K37" s="40"/>
      <c r="L37" s="27"/>
      <c r="M37" s="40"/>
      <c r="N37" s="40"/>
      <c r="O37" s="40"/>
      <c r="P37" s="40"/>
      <c r="Q37" s="27"/>
      <c r="R37" s="40"/>
      <c r="S37" s="27"/>
      <c r="T37" s="27"/>
      <c r="U37" s="40"/>
      <c r="V37" s="40"/>
      <c r="W37" s="40"/>
      <c r="X37" s="27"/>
      <c r="Y37" s="40"/>
      <c r="Z37" s="39"/>
      <c r="AA37" s="40"/>
      <c r="AB37" s="40"/>
      <c r="AC37" s="40"/>
      <c r="AD37" s="40"/>
      <c r="AE37" s="27"/>
      <c r="AF37" s="205" t="str">
        <f t="shared" si="8"/>
        <v>in</v>
      </c>
      <c r="AG37" s="188"/>
      <c r="AH37" s="213"/>
      <c r="AI37" s="214"/>
      <c r="AJ37" s="209"/>
      <c r="AK37" s="209"/>
      <c r="AL37" s="209"/>
      <c r="AM37" s="208"/>
      <c r="AN37" s="209"/>
      <c r="AO37" s="209"/>
      <c r="AP37" s="119"/>
    </row>
    <row r="38" spans="1:42" s="38" customFormat="1" ht="15" customHeight="1" outlineLevel="1" x14ac:dyDescent="0.2">
      <c r="A38" s="212" t="s">
        <v>75</v>
      </c>
      <c r="B38" s="40"/>
      <c r="C38" s="40"/>
      <c r="D38" s="40"/>
      <c r="E38" s="27"/>
      <c r="F38" s="40"/>
      <c r="G38" s="40"/>
      <c r="H38" s="40"/>
      <c r="I38" s="40"/>
      <c r="J38" s="27"/>
      <c r="K38" s="40"/>
      <c r="L38" s="27"/>
      <c r="M38" s="40"/>
      <c r="N38" s="40"/>
      <c r="O38" s="40"/>
      <c r="P38" s="40"/>
      <c r="Q38" s="27"/>
      <c r="R38" s="40"/>
      <c r="S38" s="27"/>
      <c r="T38" s="27"/>
      <c r="U38" s="40"/>
      <c r="V38" s="40"/>
      <c r="W38" s="40"/>
      <c r="X38" s="27"/>
      <c r="Y38" s="40"/>
      <c r="Z38" s="39"/>
      <c r="AA38" s="40"/>
      <c r="AB38" s="40"/>
      <c r="AC38" s="40"/>
      <c r="AD38" s="40"/>
      <c r="AE38" s="27"/>
      <c r="AF38" s="205" t="str">
        <f t="shared" si="8"/>
        <v>out</v>
      </c>
      <c r="AG38" s="188"/>
      <c r="AH38" s="213"/>
      <c r="AI38" s="214"/>
      <c r="AJ38" s="209"/>
      <c r="AK38" s="209"/>
      <c r="AL38" s="209"/>
      <c r="AM38" s="208"/>
      <c r="AN38" s="209"/>
      <c r="AO38" s="209"/>
      <c r="AP38" s="119"/>
    </row>
    <row r="39" spans="1:42" s="38" customFormat="1" ht="15" customHeight="1" outlineLevel="1" x14ac:dyDescent="0.2">
      <c r="A39" s="212" t="s">
        <v>74</v>
      </c>
      <c r="B39" s="40"/>
      <c r="C39" s="40"/>
      <c r="D39" s="40"/>
      <c r="E39" s="27"/>
      <c r="F39" s="40"/>
      <c r="G39" s="40"/>
      <c r="H39" s="40"/>
      <c r="I39" s="40"/>
      <c r="J39" s="27"/>
      <c r="K39" s="40"/>
      <c r="L39" s="27"/>
      <c r="M39" s="40"/>
      <c r="N39" s="40"/>
      <c r="O39" s="40"/>
      <c r="P39" s="40"/>
      <c r="Q39" s="27"/>
      <c r="R39" s="40"/>
      <c r="S39" s="27"/>
      <c r="T39" s="27"/>
      <c r="U39" s="40"/>
      <c r="V39" s="40"/>
      <c r="W39" s="40"/>
      <c r="X39" s="27"/>
      <c r="Y39" s="40"/>
      <c r="Z39" s="39"/>
      <c r="AA39" s="40"/>
      <c r="AB39" s="40"/>
      <c r="AC39" s="40"/>
      <c r="AD39" s="40"/>
      <c r="AE39" s="27"/>
      <c r="AF39" s="205" t="str">
        <f t="shared" si="8"/>
        <v>in</v>
      </c>
      <c r="AG39" s="188"/>
      <c r="AH39" s="213"/>
      <c r="AI39" s="214"/>
      <c r="AJ39" s="209"/>
      <c r="AK39" s="209"/>
      <c r="AL39" s="209"/>
      <c r="AM39" s="208"/>
      <c r="AN39" s="209"/>
      <c r="AO39" s="209"/>
      <c r="AP39" s="119"/>
    </row>
    <row r="40" spans="1:42" s="38" customFormat="1" ht="15" customHeight="1" outlineLevel="1" x14ac:dyDescent="0.2">
      <c r="A40" s="212" t="s">
        <v>75</v>
      </c>
      <c r="B40" s="40"/>
      <c r="C40" s="40"/>
      <c r="D40" s="40"/>
      <c r="E40" s="27"/>
      <c r="F40" s="40"/>
      <c r="G40" s="40"/>
      <c r="H40" s="40"/>
      <c r="I40" s="40"/>
      <c r="J40" s="27"/>
      <c r="K40" s="40"/>
      <c r="L40" s="27"/>
      <c r="M40" s="40"/>
      <c r="N40" s="40"/>
      <c r="O40" s="40"/>
      <c r="P40" s="40"/>
      <c r="Q40" s="27"/>
      <c r="R40" s="40"/>
      <c r="S40" s="27"/>
      <c r="T40" s="27"/>
      <c r="U40" s="40"/>
      <c r="V40" s="40"/>
      <c r="W40" s="40"/>
      <c r="X40" s="27"/>
      <c r="Y40" s="40"/>
      <c r="Z40" s="39"/>
      <c r="AA40" s="40"/>
      <c r="AB40" s="40"/>
      <c r="AC40" s="40"/>
      <c r="AD40" s="40"/>
      <c r="AE40" s="27"/>
      <c r="AF40" s="205" t="str">
        <f t="shared" si="8"/>
        <v>out</v>
      </c>
      <c r="AG40" s="188"/>
      <c r="AH40" s="213"/>
      <c r="AI40" s="214"/>
      <c r="AJ40" s="209"/>
      <c r="AK40" s="209"/>
      <c r="AL40" s="209"/>
      <c r="AM40" s="208"/>
      <c r="AN40" s="209"/>
      <c r="AO40" s="209"/>
      <c r="AP40" s="119"/>
    </row>
    <row r="41" spans="1:42" s="38" customFormat="1" ht="15" hidden="1" customHeight="1" outlineLevel="1" x14ac:dyDescent="0.2">
      <c r="A41" s="212" t="s">
        <v>74</v>
      </c>
      <c r="B41" s="40"/>
      <c r="C41" s="40"/>
      <c r="D41" s="40"/>
      <c r="E41" s="27"/>
      <c r="F41" s="40"/>
      <c r="G41" s="40"/>
      <c r="H41" s="40"/>
      <c r="I41" s="40"/>
      <c r="J41" s="27"/>
      <c r="K41" s="40"/>
      <c r="L41" s="27"/>
      <c r="M41" s="40"/>
      <c r="N41" s="40"/>
      <c r="O41" s="40"/>
      <c r="P41" s="40"/>
      <c r="Q41" s="27"/>
      <c r="R41" s="40"/>
      <c r="S41" s="27"/>
      <c r="T41" s="27"/>
      <c r="U41" s="40"/>
      <c r="V41" s="40"/>
      <c r="W41" s="40"/>
      <c r="X41" s="27"/>
      <c r="Y41" s="40"/>
      <c r="Z41" s="39"/>
      <c r="AA41" s="40"/>
      <c r="AB41" s="40"/>
      <c r="AC41" s="40"/>
      <c r="AD41" s="40"/>
      <c r="AE41" s="27"/>
      <c r="AF41" s="205" t="str">
        <f t="shared" si="8"/>
        <v>in</v>
      </c>
      <c r="AG41" s="188"/>
      <c r="AH41" s="213"/>
      <c r="AI41" s="214"/>
      <c r="AJ41" s="209"/>
      <c r="AK41" s="209"/>
      <c r="AL41" s="209"/>
      <c r="AM41" s="208"/>
      <c r="AN41" s="209"/>
      <c r="AO41" s="209"/>
      <c r="AP41" s="119"/>
    </row>
    <row r="42" spans="1:42" s="38" customFormat="1" ht="15" hidden="1" customHeight="1" outlineLevel="1" x14ac:dyDescent="0.2">
      <c r="A42" s="212" t="s">
        <v>75</v>
      </c>
      <c r="B42" s="40"/>
      <c r="C42" s="40"/>
      <c r="D42" s="40"/>
      <c r="E42" s="27"/>
      <c r="F42" s="40"/>
      <c r="G42" s="40"/>
      <c r="H42" s="40"/>
      <c r="I42" s="40"/>
      <c r="J42" s="27"/>
      <c r="K42" s="40"/>
      <c r="L42" s="27"/>
      <c r="M42" s="40"/>
      <c r="N42" s="40"/>
      <c r="O42" s="40"/>
      <c r="P42" s="40"/>
      <c r="Q42" s="27"/>
      <c r="R42" s="40"/>
      <c r="S42" s="27"/>
      <c r="T42" s="27"/>
      <c r="U42" s="40"/>
      <c r="V42" s="40"/>
      <c r="W42" s="40"/>
      <c r="X42" s="27"/>
      <c r="Y42" s="40"/>
      <c r="Z42" s="39"/>
      <c r="AA42" s="40"/>
      <c r="AB42" s="40"/>
      <c r="AC42" s="40"/>
      <c r="AD42" s="40"/>
      <c r="AE42" s="27"/>
      <c r="AF42" s="205" t="str">
        <f t="shared" si="8"/>
        <v>out</v>
      </c>
      <c r="AG42" s="188"/>
      <c r="AH42" s="213"/>
      <c r="AI42" s="214"/>
      <c r="AJ42" s="209"/>
      <c r="AK42" s="209"/>
      <c r="AL42" s="209"/>
      <c r="AM42" s="208"/>
      <c r="AN42" s="209"/>
      <c r="AO42" s="209"/>
      <c r="AP42" s="119"/>
    </row>
    <row r="43" spans="1:42" s="38" customFormat="1" ht="15" hidden="1" customHeight="1" outlineLevel="1" x14ac:dyDescent="0.2">
      <c r="A43" s="212" t="s">
        <v>74</v>
      </c>
      <c r="B43" s="40"/>
      <c r="C43" s="40"/>
      <c r="D43" s="40"/>
      <c r="E43" s="27"/>
      <c r="F43" s="40"/>
      <c r="G43" s="40"/>
      <c r="H43" s="40"/>
      <c r="I43" s="40"/>
      <c r="J43" s="27"/>
      <c r="K43" s="40"/>
      <c r="L43" s="27"/>
      <c r="M43" s="40"/>
      <c r="N43" s="40"/>
      <c r="O43" s="40"/>
      <c r="P43" s="40"/>
      <c r="Q43" s="27"/>
      <c r="R43" s="40"/>
      <c r="S43" s="27"/>
      <c r="T43" s="27"/>
      <c r="U43" s="40"/>
      <c r="V43" s="40"/>
      <c r="W43" s="40"/>
      <c r="X43" s="27"/>
      <c r="Y43" s="40"/>
      <c r="Z43" s="39"/>
      <c r="AA43" s="40"/>
      <c r="AB43" s="40"/>
      <c r="AC43" s="40"/>
      <c r="AD43" s="40"/>
      <c r="AE43" s="27"/>
      <c r="AF43" s="205" t="str">
        <f t="shared" si="8"/>
        <v>in</v>
      </c>
      <c r="AG43" s="188"/>
      <c r="AH43" s="213"/>
      <c r="AI43" s="214"/>
      <c r="AJ43" s="209"/>
      <c r="AK43" s="209"/>
      <c r="AL43" s="209"/>
      <c r="AM43" s="208"/>
      <c r="AN43" s="209"/>
      <c r="AO43" s="209"/>
      <c r="AP43" s="119"/>
    </row>
    <row r="44" spans="1:42" s="38" customFormat="1" ht="15" hidden="1" customHeight="1" outlineLevel="1" x14ac:dyDescent="0.2">
      <c r="A44" s="212" t="s">
        <v>75</v>
      </c>
      <c r="B44" s="40"/>
      <c r="C44" s="40"/>
      <c r="D44" s="40"/>
      <c r="E44" s="27"/>
      <c r="F44" s="40"/>
      <c r="G44" s="40"/>
      <c r="H44" s="40"/>
      <c r="I44" s="40"/>
      <c r="J44" s="27"/>
      <c r="K44" s="40"/>
      <c r="L44" s="27"/>
      <c r="M44" s="40"/>
      <c r="N44" s="40"/>
      <c r="O44" s="40"/>
      <c r="P44" s="40"/>
      <c r="Q44" s="27"/>
      <c r="R44" s="40"/>
      <c r="S44" s="27"/>
      <c r="T44" s="27"/>
      <c r="U44" s="40"/>
      <c r="V44" s="40"/>
      <c r="W44" s="40"/>
      <c r="X44" s="27"/>
      <c r="Y44" s="40"/>
      <c r="Z44" s="39"/>
      <c r="AA44" s="40"/>
      <c r="AB44" s="40"/>
      <c r="AC44" s="40"/>
      <c r="AD44" s="40"/>
      <c r="AE44" s="27"/>
      <c r="AF44" s="205" t="str">
        <f t="shared" si="8"/>
        <v>out</v>
      </c>
      <c r="AG44" s="188"/>
      <c r="AH44" s="213"/>
      <c r="AI44" s="214"/>
      <c r="AJ44" s="209"/>
      <c r="AK44" s="209"/>
      <c r="AL44" s="209"/>
      <c r="AM44" s="208"/>
      <c r="AN44" s="209"/>
      <c r="AO44" s="209"/>
      <c r="AP44" s="119"/>
    </row>
    <row r="45" spans="1:42" s="38" customFormat="1" ht="15" customHeight="1" outlineLevel="1" x14ac:dyDescent="0.2">
      <c r="A45" s="215" t="s">
        <v>207</v>
      </c>
      <c r="B45" s="216">
        <f>ROUND(((B36-B35)+(B38-B37)+(B40-B39)+(B42-B41)+(B44-B43))*1440,0)/1440</f>
        <v>0</v>
      </c>
      <c r="C45" s="216">
        <f t="shared" ref="C45:AE45" si="9">ROUND(((C36-C35)+(C38-C37)+(C40-C39)+(C42-C41)+(C44-C43))*1440,0)/1440</f>
        <v>0</v>
      </c>
      <c r="D45" s="216">
        <f t="shared" si="9"/>
        <v>0</v>
      </c>
      <c r="E45" s="216">
        <f t="shared" si="9"/>
        <v>0</v>
      </c>
      <c r="F45" s="216">
        <f t="shared" si="9"/>
        <v>0</v>
      </c>
      <c r="G45" s="216">
        <f t="shared" si="9"/>
        <v>0</v>
      </c>
      <c r="H45" s="216">
        <f t="shared" si="9"/>
        <v>0</v>
      </c>
      <c r="I45" s="216">
        <f t="shared" si="9"/>
        <v>0</v>
      </c>
      <c r="J45" s="216">
        <f t="shared" si="9"/>
        <v>0</v>
      </c>
      <c r="K45" s="216">
        <f t="shared" si="9"/>
        <v>0</v>
      </c>
      <c r="L45" s="216">
        <f t="shared" si="9"/>
        <v>0</v>
      </c>
      <c r="M45" s="216">
        <f t="shared" si="9"/>
        <v>0</v>
      </c>
      <c r="N45" s="216">
        <f t="shared" si="9"/>
        <v>0</v>
      </c>
      <c r="O45" s="216">
        <f t="shared" si="9"/>
        <v>0</v>
      </c>
      <c r="P45" s="216">
        <f t="shared" si="9"/>
        <v>0</v>
      </c>
      <c r="Q45" s="216">
        <f t="shared" si="9"/>
        <v>0</v>
      </c>
      <c r="R45" s="216">
        <f t="shared" si="9"/>
        <v>0</v>
      </c>
      <c r="S45" s="216">
        <f t="shared" si="9"/>
        <v>0</v>
      </c>
      <c r="T45" s="216">
        <f t="shared" si="9"/>
        <v>0</v>
      </c>
      <c r="U45" s="216">
        <f t="shared" si="9"/>
        <v>0</v>
      </c>
      <c r="V45" s="216">
        <f t="shared" si="9"/>
        <v>0</v>
      </c>
      <c r="W45" s="216">
        <f t="shared" si="9"/>
        <v>0</v>
      </c>
      <c r="X45" s="216">
        <f t="shared" si="9"/>
        <v>0</v>
      </c>
      <c r="Y45" s="216">
        <f t="shared" si="9"/>
        <v>0</v>
      </c>
      <c r="Z45" s="216">
        <f t="shared" si="9"/>
        <v>0</v>
      </c>
      <c r="AA45" s="216">
        <f t="shared" si="9"/>
        <v>0</v>
      </c>
      <c r="AB45" s="216">
        <f t="shared" si="9"/>
        <v>0</v>
      </c>
      <c r="AC45" s="216">
        <f t="shared" si="9"/>
        <v>0</v>
      </c>
      <c r="AD45" s="216">
        <f t="shared" si="9"/>
        <v>0</v>
      </c>
      <c r="AE45" s="216">
        <f t="shared" si="9"/>
        <v>0</v>
      </c>
      <c r="AF45" s="217" t="str">
        <f t="shared" si="8"/>
        <v>Total on call standby in/out</v>
      </c>
      <c r="AG45" s="218"/>
      <c r="AH45" s="219">
        <f>SUM(B45:AE45)</f>
        <v>0</v>
      </c>
      <c r="AI45" s="214"/>
      <c r="AJ45" s="209"/>
      <c r="AK45" s="209"/>
      <c r="AL45" s="209"/>
      <c r="AM45" s="208"/>
      <c r="AN45" s="209"/>
      <c r="AO45" s="209"/>
      <c r="AP45" s="119"/>
    </row>
    <row r="46" spans="1:42" s="38" customFormat="1" ht="3.75" customHeight="1" x14ac:dyDescent="0.2">
      <c r="A46" s="220"/>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205"/>
      <c r="AG46" s="188"/>
      <c r="AH46" s="213"/>
      <c r="AI46" s="214"/>
      <c r="AJ46" s="209"/>
      <c r="AK46" s="209"/>
      <c r="AL46" s="209"/>
      <c r="AM46" s="208"/>
      <c r="AN46" s="209"/>
      <c r="AO46" s="209"/>
      <c r="AP46" s="119"/>
    </row>
    <row r="47" spans="1:42" s="38" customFormat="1" ht="16.5" hidden="1" customHeight="1" outlineLevel="1" x14ac:dyDescent="0.2">
      <c r="A47" s="215" t="s">
        <v>209</v>
      </c>
      <c r="B47" s="216">
        <f t="shared" ref="B47:AE47" si="10">IF(B45&gt;0,ROUND((B45-
IF(B35&lt;T.PikettVetsuissebis,MIN(T.PikettVetsuissebis-B35,B36-B35)+IF(B37&lt;T.PikettVetsuissebis,MIN(T.PikettVetsuissebis-B37,B38-B37)+IF(B39&lt;T.PikettVetsuissebis,MIN(T.PikettVetsuissebis-B39,B40-B39)+IF(B41&lt;T.PikettVetsuissebis,MIN(T.PikettVetsuissebis-B41,B42-B41)+IF(B43&lt;T.PikettVetsuissebis,MIN(T.PikettVetsuissebis-B43,B44-B43),0),0),0),0),0))*1440,0)/1440,0)</f>
        <v>0</v>
      </c>
      <c r="C47" s="216">
        <f t="shared" si="10"/>
        <v>0</v>
      </c>
      <c r="D47" s="216">
        <f t="shared" si="10"/>
        <v>0</v>
      </c>
      <c r="E47" s="216">
        <f t="shared" si="10"/>
        <v>0</v>
      </c>
      <c r="F47" s="216">
        <f t="shared" si="10"/>
        <v>0</v>
      </c>
      <c r="G47" s="216">
        <f t="shared" si="10"/>
        <v>0</v>
      </c>
      <c r="H47" s="216">
        <f t="shared" si="10"/>
        <v>0</v>
      </c>
      <c r="I47" s="216">
        <f t="shared" si="10"/>
        <v>0</v>
      </c>
      <c r="J47" s="216">
        <f t="shared" si="10"/>
        <v>0</v>
      </c>
      <c r="K47" s="216">
        <f t="shared" si="10"/>
        <v>0</v>
      </c>
      <c r="L47" s="216">
        <f t="shared" si="10"/>
        <v>0</v>
      </c>
      <c r="M47" s="216">
        <f t="shared" si="10"/>
        <v>0</v>
      </c>
      <c r="N47" s="216">
        <f t="shared" si="10"/>
        <v>0</v>
      </c>
      <c r="O47" s="216">
        <f t="shared" si="10"/>
        <v>0</v>
      </c>
      <c r="P47" s="216">
        <f t="shared" si="10"/>
        <v>0</v>
      </c>
      <c r="Q47" s="216">
        <f t="shared" si="10"/>
        <v>0</v>
      </c>
      <c r="R47" s="216">
        <f t="shared" si="10"/>
        <v>0</v>
      </c>
      <c r="S47" s="216">
        <f t="shared" si="10"/>
        <v>0</v>
      </c>
      <c r="T47" s="216">
        <f t="shared" si="10"/>
        <v>0</v>
      </c>
      <c r="U47" s="216">
        <f t="shared" si="10"/>
        <v>0</v>
      </c>
      <c r="V47" s="216">
        <f t="shared" si="10"/>
        <v>0</v>
      </c>
      <c r="W47" s="216">
        <f t="shared" si="10"/>
        <v>0</v>
      </c>
      <c r="X47" s="216">
        <f t="shared" si="10"/>
        <v>0</v>
      </c>
      <c r="Y47" s="216">
        <f t="shared" si="10"/>
        <v>0</v>
      </c>
      <c r="Z47" s="216">
        <f t="shared" si="10"/>
        <v>0</v>
      </c>
      <c r="AA47" s="216">
        <f t="shared" si="10"/>
        <v>0</v>
      </c>
      <c r="AB47" s="216">
        <f t="shared" si="10"/>
        <v>0</v>
      </c>
      <c r="AC47" s="216">
        <f t="shared" si="10"/>
        <v>0</v>
      </c>
      <c r="AD47" s="216">
        <f t="shared" si="10"/>
        <v>0</v>
      </c>
      <c r="AE47" s="216">
        <f t="shared" si="10"/>
        <v>0</v>
      </c>
      <c r="AF47" s="217" t="str">
        <f>A47</f>
        <v>Total on call hours today</v>
      </c>
      <c r="AG47" s="188"/>
      <c r="AH47" s="213"/>
      <c r="AI47" s="214"/>
      <c r="AJ47" s="209"/>
      <c r="AK47" s="209"/>
      <c r="AL47" s="209"/>
      <c r="AM47" s="208"/>
      <c r="AN47" s="209"/>
      <c r="AO47" s="209"/>
      <c r="AP47" s="119"/>
    </row>
    <row r="48" spans="1:42" s="38" customFormat="1" ht="16.5" hidden="1" customHeight="1" outlineLevel="1" x14ac:dyDescent="0.2">
      <c r="A48" s="215" t="s">
        <v>208</v>
      </c>
      <c r="B48" s="225">
        <f t="shared" ref="B48:AE48" si="11">B45-B47</f>
        <v>0</v>
      </c>
      <c r="C48" s="225">
        <f t="shared" si="11"/>
        <v>0</v>
      </c>
      <c r="D48" s="225">
        <f t="shared" si="11"/>
        <v>0</v>
      </c>
      <c r="E48" s="225">
        <f t="shared" si="11"/>
        <v>0</v>
      </c>
      <c r="F48" s="225">
        <f t="shared" si="11"/>
        <v>0</v>
      </c>
      <c r="G48" s="225">
        <f t="shared" si="11"/>
        <v>0</v>
      </c>
      <c r="H48" s="225">
        <f t="shared" si="11"/>
        <v>0</v>
      </c>
      <c r="I48" s="225">
        <f t="shared" si="11"/>
        <v>0</v>
      </c>
      <c r="J48" s="225">
        <f t="shared" si="11"/>
        <v>0</v>
      </c>
      <c r="K48" s="225">
        <f t="shared" si="11"/>
        <v>0</v>
      </c>
      <c r="L48" s="225">
        <f t="shared" si="11"/>
        <v>0</v>
      </c>
      <c r="M48" s="225">
        <f t="shared" si="11"/>
        <v>0</v>
      </c>
      <c r="N48" s="225">
        <f t="shared" si="11"/>
        <v>0</v>
      </c>
      <c r="O48" s="225">
        <f t="shared" si="11"/>
        <v>0</v>
      </c>
      <c r="P48" s="225">
        <f t="shared" si="11"/>
        <v>0</v>
      </c>
      <c r="Q48" s="225">
        <f t="shared" si="11"/>
        <v>0</v>
      </c>
      <c r="R48" s="225">
        <f t="shared" si="11"/>
        <v>0</v>
      </c>
      <c r="S48" s="225">
        <f t="shared" si="11"/>
        <v>0</v>
      </c>
      <c r="T48" s="225">
        <f t="shared" si="11"/>
        <v>0</v>
      </c>
      <c r="U48" s="225">
        <f t="shared" si="11"/>
        <v>0</v>
      </c>
      <c r="V48" s="225">
        <f t="shared" si="11"/>
        <v>0</v>
      </c>
      <c r="W48" s="225">
        <f t="shared" si="11"/>
        <v>0</v>
      </c>
      <c r="X48" s="225">
        <f t="shared" si="11"/>
        <v>0</v>
      </c>
      <c r="Y48" s="225">
        <f t="shared" si="11"/>
        <v>0</v>
      </c>
      <c r="Z48" s="225">
        <f t="shared" si="11"/>
        <v>0</v>
      </c>
      <c r="AA48" s="225">
        <f t="shared" si="11"/>
        <v>0</v>
      </c>
      <c r="AB48" s="225">
        <f t="shared" si="11"/>
        <v>0</v>
      </c>
      <c r="AC48" s="225">
        <f t="shared" si="11"/>
        <v>0</v>
      </c>
      <c r="AD48" s="225">
        <f t="shared" si="11"/>
        <v>0</v>
      </c>
      <c r="AE48" s="225">
        <f t="shared" si="11"/>
        <v>0</v>
      </c>
      <c r="AF48" s="217" t="str">
        <f>A48</f>
        <v>Total on call hours yesterday</v>
      </c>
      <c r="AG48" s="188"/>
      <c r="AH48" s="213"/>
      <c r="AI48" s="214"/>
      <c r="AJ48" s="209"/>
      <c r="AK48" s="209"/>
      <c r="AL48" s="230">
        <f ca="1">IF(EB.Anwendung&lt;&gt;"",IF(MONTH(Monat.Tag1)=12,0,IF(MONTH(Monat.Tag1)=1,February!Monat.PikettgesternTag1,IF(MONTH(Monat.Tag1)=2,March!Monat.PikettgesternTag1,IF(MONTH(Monat.Tag1)=3,April!Monat.PikettgesternTag1,IF(MONTH(Monat.Tag1)=4,May!Monat.PikettgesternTag1,IF(MONTH(Monat.Tag1)=5,June!Monat.PikettgesternTag1,IF(MONTH(Monat.Tag1)=6,July!Monat.PikettgesternTag1,IF(MONTH(Monat.Tag1)=7,August!Monat.PikettgesternTag1,IF(MONTH(Monat.Tag1)=8,September!Monat.PikettgesternTag1,IF(MONTH(Monat.Tag1)=9,October!Monat.PikettgesternTag1,IF(MONTH(Monat.Tag1)=10,November!Monat.PikettgesternTag1,IF(MONTH(Monat.Tag1)=11,December!Monat.PikettgesternTag1,"")))))))))))),"")</f>
        <v>0</v>
      </c>
      <c r="AM48" s="208"/>
      <c r="AN48" s="209"/>
      <c r="AO48" s="209"/>
      <c r="AP48" s="119"/>
    </row>
    <row r="49" spans="1:42" s="38" customFormat="1" ht="16.5" hidden="1" customHeight="1" outlineLevel="1" x14ac:dyDescent="0.2">
      <c r="A49" s="215" t="s">
        <v>210</v>
      </c>
      <c r="B49" s="216">
        <f t="shared" ref="B49:AD49" si="12">B47+IF(B$10=EOMONTH(B$10,0),$AL48,C48)</f>
        <v>0</v>
      </c>
      <c r="C49" s="216">
        <f t="shared" si="12"/>
        <v>0</v>
      </c>
      <c r="D49" s="216">
        <f t="shared" si="12"/>
        <v>0</v>
      </c>
      <c r="E49" s="216">
        <f t="shared" si="12"/>
        <v>0</v>
      </c>
      <c r="F49" s="216">
        <f t="shared" si="12"/>
        <v>0</v>
      </c>
      <c r="G49" s="216">
        <f t="shared" si="12"/>
        <v>0</v>
      </c>
      <c r="H49" s="216">
        <f t="shared" si="12"/>
        <v>0</v>
      </c>
      <c r="I49" s="216">
        <f t="shared" si="12"/>
        <v>0</v>
      </c>
      <c r="J49" s="216">
        <f t="shared" si="12"/>
        <v>0</v>
      </c>
      <c r="K49" s="216">
        <f t="shared" si="12"/>
        <v>0</v>
      </c>
      <c r="L49" s="216">
        <f t="shared" si="12"/>
        <v>0</v>
      </c>
      <c r="M49" s="216">
        <f t="shared" si="12"/>
        <v>0</v>
      </c>
      <c r="N49" s="216">
        <f t="shared" si="12"/>
        <v>0</v>
      </c>
      <c r="O49" s="216">
        <f t="shared" si="12"/>
        <v>0</v>
      </c>
      <c r="P49" s="216">
        <f t="shared" si="12"/>
        <v>0</v>
      </c>
      <c r="Q49" s="216">
        <f t="shared" si="12"/>
        <v>0</v>
      </c>
      <c r="R49" s="216">
        <f t="shared" si="12"/>
        <v>0</v>
      </c>
      <c r="S49" s="216">
        <f t="shared" si="12"/>
        <v>0</v>
      </c>
      <c r="T49" s="216">
        <f t="shared" si="12"/>
        <v>0</v>
      </c>
      <c r="U49" s="216">
        <f t="shared" si="12"/>
        <v>0</v>
      </c>
      <c r="V49" s="216">
        <f t="shared" si="12"/>
        <v>0</v>
      </c>
      <c r="W49" s="216">
        <f t="shared" si="12"/>
        <v>0</v>
      </c>
      <c r="X49" s="216">
        <f t="shared" si="12"/>
        <v>0</v>
      </c>
      <c r="Y49" s="216">
        <f t="shared" si="12"/>
        <v>0</v>
      </c>
      <c r="Z49" s="216">
        <f t="shared" si="12"/>
        <v>0</v>
      </c>
      <c r="AA49" s="216">
        <f t="shared" si="12"/>
        <v>0</v>
      </c>
      <c r="AB49" s="216">
        <f t="shared" si="12"/>
        <v>0</v>
      </c>
      <c r="AC49" s="216">
        <f t="shared" si="12"/>
        <v>0</v>
      </c>
      <c r="AD49" s="216">
        <f t="shared" si="12"/>
        <v>0</v>
      </c>
      <c r="AE49" s="216">
        <f ca="1">AE47+IF(AE$10=EOMONTH(AE$10,0),$AL48,#REF!)</f>
        <v>0</v>
      </c>
      <c r="AF49" s="217" t="str">
        <f>A49</f>
        <v>Total on call standby hours</v>
      </c>
      <c r="AG49" s="218"/>
      <c r="AH49" s="219">
        <f ca="1">SUM(B49:AE49)</f>
        <v>0</v>
      </c>
      <c r="AI49" s="214"/>
      <c r="AJ49" s="209"/>
      <c r="AK49" s="209"/>
      <c r="AL49" s="209"/>
      <c r="AM49" s="208"/>
      <c r="AN49" s="209"/>
      <c r="AO49" s="209"/>
      <c r="AP49" s="119"/>
    </row>
    <row r="50" spans="1:42" s="38" customFormat="1" ht="3.75" customHeight="1" collapsed="1" x14ac:dyDescent="0.2">
      <c r="A50" s="231"/>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32"/>
      <c r="AG50" s="233"/>
      <c r="AH50" s="222"/>
      <c r="AI50" s="214"/>
      <c r="AJ50" s="209"/>
      <c r="AK50" s="209"/>
      <c r="AL50" s="209"/>
      <c r="AM50" s="208"/>
      <c r="AN50" s="209"/>
      <c r="AO50" s="209"/>
      <c r="AP50" s="119"/>
    </row>
    <row r="51" spans="1:42" s="38" customFormat="1" ht="15" customHeight="1" x14ac:dyDescent="0.2">
      <c r="A51" s="215" t="s">
        <v>76</v>
      </c>
      <c r="B51" s="234">
        <f>ROUND((B23+B45+B84+SUM(B86:B95)+IF(OR(T.50_Vetsuisse,T.ServiceCenterIrchel),B71,0))*1440,0)/1440</f>
        <v>0</v>
      </c>
      <c r="C51" s="234">
        <f t="shared" ref="C51:AE51" si="13">ROUND((C23+C45+C84+SUM(C86:C95)+IF(OR(T.50_Vetsuisse,T.ServiceCenterIrchel),C71,0))*1440,0)/1440</f>
        <v>0</v>
      </c>
      <c r="D51" s="234">
        <f t="shared" si="13"/>
        <v>0</v>
      </c>
      <c r="E51" s="235">
        <f t="shared" si="13"/>
        <v>0</v>
      </c>
      <c r="F51" s="234">
        <f t="shared" si="13"/>
        <v>0</v>
      </c>
      <c r="G51" s="234">
        <f t="shared" si="13"/>
        <v>0</v>
      </c>
      <c r="H51" s="234">
        <f t="shared" si="13"/>
        <v>0</v>
      </c>
      <c r="I51" s="234">
        <f t="shared" si="13"/>
        <v>0</v>
      </c>
      <c r="J51" s="236">
        <f t="shared" si="13"/>
        <v>0</v>
      </c>
      <c r="K51" s="234">
        <f t="shared" si="13"/>
        <v>0</v>
      </c>
      <c r="L51" s="236">
        <f t="shared" si="13"/>
        <v>0</v>
      </c>
      <c r="M51" s="234">
        <f t="shared" si="13"/>
        <v>0</v>
      </c>
      <c r="N51" s="234">
        <f t="shared" si="13"/>
        <v>0</v>
      </c>
      <c r="O51" s="234">
        <f t="shared" si="13"/>
        <v>0</v>
      </c>
      <c r="P51" s="234">
        <f t="shared" si="13"/>
        <v>0</v>
      </c>
      <c r="Q51" s="236">
        <f t="shared" si="13"/>
        <v>0</v>
      </c>
      <c r="R51" s="234">
        <f t="shared" si="13"/>
        <v>0</v>
      </c>
      <c r="S51" s="236">
        <f t="shared" si="13"/>
        <v>0</v>
      </c>
      <c r="T51" s="236">
        <f t="shared" si="13"/>
        <v>0</v>
      </c>
      <c r="U51" s="234">
        <f t="shared" si="13"/>
        <v>0</v>
      </c>
      <c r="V51" s="234">
        <f t="shared" si="13"/>
        <v>0</v>
      </c>
      <c r="W51" s="234">
        <f t="shared" si="13"/>
        <v>0</v>
      </c>
      <c r="X51" s="236">
        <f t="shared" si="13"/>
        <v>0</v>
      </c>
      <c r="Y51" s="234">
        <f t="shared" si="13"/>
        <v>0</v>
      </c>
      <c r="Z51" s="237">
        <f t="shared" si="13"/>
        <v>0</v>
      </c>
      <c r="AA51" s="234">
        <f t="shared" si="13"/>
        <v>0</v>
      </c>
      <c r="AB51" s="234">
        <f t="shared" si="13"/>
        <v>0</v>
      </c>
      <c r="AC51" s="234">
        <f t="shared" si="13"/>
        <v>0</v>
      </c>
      <c r="AD51" s="234">
        <f t="shared" si="13"/>
        <v>0</v>
      </c>
      <c r="AE51" s="236">
        <f t="shared" si="13"/>
        <v>0</v>
      </c>
      <c r="AF51" s="217" t="str">
        <f t="shared" ref="AF51:AF56" si="14">A51</f>
        <v>Actual hours worked</v>
      </c>
      <c r="AG51" s="218"/>
      <c r="AH51" s="238">
        <f>SUM(B51:AE51)</f>
        <v>0</v>
      </c>
      <c r="AI51" s="214"/>
      <c r="AJ51" s="209"/>
      <c r="AK51" s="209"/>
      <c r="AL51" s="209"/>
      <c r="AM51" s="239">
        <f ca="1">IF(WEEKDAY(EOMONTH(Monat.Tag1,0),2)=7,0,MAX(0,SUM(OFFSET(B51,0,DAY(EOMONTH(Monat.Tag1,0))-WEEKDAY(EOMONTH(Monat.Tag1,0),2),1,WEEKDAY(EOMONTH(Monat.Tag1,0),2)))))</f>
        <v>0</v>
      </c>
      <c r="AN51" s="209"/>
      <c r="AO51" s="209"/>
      <c r="AP51" s="119"/>
    </row>
    <row r="52" spans="1:42" s="38" customFormat="1" ht="15" customHeight="1" outlineLevel="1" x14ac:dyDescent="0.2">
      <c r="A52" s="212" t="s">
        <v>211</v>
      </c>
      <c r="B52" s="78">
        <f t="shared" ref="B52:AE52" ca="1" si="15">IF(B$12=0,0,ROUND(INDEX(Monat.RAZ1_7.Bereich,WEEKDAY(B$10,2))*B$11*1440,0)/1440)</f>
        <v>0</v>
      </c>
      <c r="C52" s="78">
        <f t="shared" ca="1" si="15"/>
        <v>0.35</v>
      </c>
      <c r="D52" s="79">
        <f t="shared" ca="1" si="15"/>
        <v>0.35</v>
      </c>
      <c r="E52" s="78">
        <f t="shared" ca="1" si="15"/>
        <v>0.35</v>
      </c>
      <c r="F52" s="79">
        <f t="shared" ca="1" si="15"/>
        <v>0.35</v>
      </c>
      <c r="G52" s="79">
        <f t="shared" ca="1" si="15"/>
        <v>0</v>
      </c>
      <c r="H52" s="79">
        <f t="shared" ca="1" si="15"/>
        <v>0</v>
      </c>
      <c r="I52" s="79">
        <f t="shared" ca="1" si="15"/>
        <v>0.35</v>
      </c>
      <c r="J52" s="78">
        <f t="shared" ca="1" si="15"/>
        <v>0.35</v>
      </c>
      <c r="K52" s="79">
        <f t="shared" ca="1" si="15"/>
        <v>0.35</v>
      </c>
      <c r="L52" s="78">
        <f t="shared" ca="1" si="15"/>
        <v>0.35</v>
      </c>
      <c r="M52" s="79">
        <f t="shared" ca="1" si="15"/>
        <v>0.35</v>
      </c>
      <c r="N52" s="79">
        <f t="shared" ca="1" si="15"/>
        <v>0</v>
      </c>
      <c r="O52" s="79">
        <f t="shared" ca="1" si="15"/>
        <v>0</v>
      </c>
      <c r="P52" s="79">
        <f t="shared" ca="1" si="15"/>
        <v>0.35</v>
      </c>
      <c r="Q52" s="78">
        <f t="shared" ca="1" si="15"/>
        <v>0.35</v>
      </c>
      <c r="R52" s="79">
        <f t="shared" ca="1" si="15"/>
        <v>0.35</v>
      </c>
      <c r="S52" s="78">
        <f t="shared" ca="1" si="15"/>
        <v>0.35</v>
      </c>
      <c r="T52" s="78">
        <f t="shared" ca="1" si="15"/>
        <v>0.35</v>
      </c>
      <c r="U52" s="79">
        <f t="shared" ca="1" si="15"/>
        <v>0</v>
      </c>
      <c r="V52" s="79">
        <f t="shared" ca="1" si="15"/>
        <v>0</v>
      </c>
      <c r="W52" s="79">
        <f t="shared" ca="1" si="15"/>
        <v>0.35</v>
      </c>
      <c r="X52" s="78">
        <f t="shared" ca="1" si="15"/>
        <v>0.35</v>
      </c>
      <c r="Y52" s="79">
        <f t="shared" ca="1" si="15"/>
        <v>0.35</v>
      </c>
      <c r="Z52" s="80">
        <f t="shared" ca="1" si="15"/>
        <v>0.35</v>
      </c>
      <c r="AA52" s="79">
        <f t="shared" ca="1" si="15"/>
        <v>0.35</v>
      </c>
      <c r="AB52" s="79">
        <f t="shared" ca="1" si="15"/>
        <v>0</v>
      </c>
      <c r="AC52" s="79">
        <f t="shared" ca="1" si="15"/>
        <v>0</v>
      </c>
      <c r="AD52" s="79">
        <f t="shared" ca="1" si="15"/>
        <v>0.35</v>
      </c>
      <c r="AE52" s="78">
        <f t="shared" ca="1" si="15"/>
        <v>0.35</v>
      </c>
      <c r="AF52" s="240" t="str">
        <f t="shared" si="14"/>
        <v>Standardized hours (Info)</v>
      </c>
      <c r="AG52" s="218"/>
      <c r="AH52" s="213"/>
      <c r="AI52" s="214"/>
      <c r="AJ52" s="209"/>
      <c r="AK52" s="209"/>
      <c r="AL52" s="209"/>
      <c r="AM52" s="208"/>
      <c r="AN52" s="209"/>
      <c r="AO52" s="209"/>
      <c r="AP52" s="119"/>
    </row>
    <row r="53" spans="1:42" s="38" customFormat="1" ht="15" customHeight="1" x14ac:dyDescent="0.2">
      <c r="A53" s="212" t="s">
        <v>212</v>
      </c>
      <c r="B53" s="241">
        <f t="shared" ref="B53:AE53" ca="1" si="16">IF(B$12=0,0,ROUND(INDEX(EB.AZSOLLTag100.Bereich,MATCH(INDEX(EB.Monate.Bereich,MONTH(Monat.Tag1)),EB.Monate.Bereich,0))*B$11*IF(WEEKDAY(B$10,2)&gt;5,0,1)*$V$2/100*1440,0)/1440)</f>
        <v>0</v>
      </c>
      <c r="C53" s="241">
        <f t="shared" ca="1" si="16"/>
        <v>0.35</v>
      </c>
      <c r="D53" s="241">
        <f t="shared" ca="1" si="16"/>
        <v>0.35</v>
      </c>
      <c r="E53" s="241">
        <f t="shared" ca="1" si="16"/>
        <v>0.35</v>
      </c>
      <c r="F53" s="241">
        <f t="shared" ca="1" si="16"/>
        <v>0.35</v>
      </c>
      <c r="G53" s="241">
        <f t="shared" ca="1" si="16"/>
        <v>0</v>
      </c>
      <c r="H53" s="241">
        <f t="shared" ca="1" si="16"/>
        <v>0</v>
      </c>
      <c r="I53" s="241">
        <f t="shared" ca="1" si="16"/>
        <v>0.35</v>
      </c>
      <c r="J53" s="241">
        <f t="shared" ca="1" si="16"/>
        <v>0.35</v>
      </c>
      <c r="K53" s="241">
        <f t="shared" ca="1" si="16"/>
        <v>0.35</v>
      </c>
      <c r="L53" s="241">
        <f t="shared" ca="1" si="16"/>
        <v>0.35</v>
      </c>
      <c r="M53" s="241">
        <f t="shared" ca="1" si="16"/>
        <v>0.35</v>
      </c>
      <c r="N53" s="241">
        <f t="shared" ca="1" si="16"/>
        <v>0</v>
      </c>
      <c r="O53" s="241">
        <f t="shared" ca="1" si="16"/>
        <v>0</v>
      </c>
      <c r="P53" s="241">
        <f t="shared" ca="1" si="16"/>
        <v>0.35</v>
      </c>
      <c r="Q53" s="241">
        <f t="shared" ca="1" si="16"/>
        <v>0.35</v>
      </c>
      <c r="R53" s="241">
        <f t="shared" ca="1" si="16"/>
        <v>0.35</v>
      </c>
      <c r="S53" s="241">
        <f t="shared" ca="1" si="16"/>
        <v>0.35</v>
      </c>
      <c r="T53" s="241">
        <f t="shared" ca="1" si="16"/>
        <v>0.35</v>
      </c>
      <c r="U53" s="241">
        <f t="shared" ca="1" si="16"/>
        <v>0</v>
      </c>
      <c r="V53" s="241">
        <f t="shared" ca="1" si="16"/>
        <v>0</v>
      </c>
      <c r="W53" s="241">
        <f t="shared" ca="1" si="16"/>
        <v>0.35</v>
      </c>
      <c r="X53" s="241">
        <f t="shared" ca="1" si="16"/>
        <v>0.35</v>
      </c>
      <c r="Y53" s="241">
        <f t="shared" ca="1" si="16"/>
        <v>0.35</v>
      </c>
      <c r="Z53" s="241">
        <f t="shared" ca="1" si="16"/>
        <v>0.35</v>
      </c>
      <c r="AA53" s="241">
        <f t="shared" ca="1" si="16"/>
        <v>0.35</v>
      </c>
      <c r="AB53" s="241">
        <f t="shared" ca="1" si="16"/>
        <v>0</v>
      </c>
      <c r="AC53" s="241">
        <f t="shared" ca="1" si="16"/>
        <v>0</v>
      </c>
      <c r="AD53" s="241">
        <f t="shared" ca="1" si="16"/>
        <v>0.35</v>
      </c>
      <c r="AE53" s="241">
        <f t="shared" ca="1" si="16"/>
        <v>0.35</v>
      </c>
      <c r="AF53" s="205" t="str">
        <f t="shared" si="14"/>
        <v>Req. hours of work FTE</v>
      </c>
      <c r="AG53" s="218"/>
      <c r="AH53" s="238">
        <f ca="1">SUM(B53:AE53)</f>
        <v>7.349999999999997</v>
      </c>
      <c r="AI53" s="214"/>
      <c r="AJ53" s="209"/>
      <c r="AK53" s="209"/>
      <c r="AL53" s="209"/>
      <c r="AM53" s="208"/>
      <c r="AN53" s="209"/>
      <c r="AO53" s="209"/>
      <c r="AP53" s="119"/>
    </row>
    <row r="54" spans="1:42" s="38" customFormat="1" ht="15" hidden="1" customHeight="1" outlineLevel="1" x14ac:dyDescent="0.2">
      <c r="A54" s="212" t="s">
        <v>213</v>
      </c>
      <c r="B54" s="241">
        <f t="shared" ref="B54:AE54" ca="1" si="17">ROUND(INDEX(EB.AZSOLLTag100.Bereich,MATCH(INDEX(EB.Monate.Bereich,MONTH(Monat.Tag1)),EB.Monate.Bereich,0))*B$11*IF(WEEKDAY(B$10,2)&gt;5,0,1)*1440,0)/1440</f>
        <v>0</v>
      </c>
      <c r="C54" s="241">
        <f t="shared" ca="1" si="17"/>
        <v>0.35</v>
      </c>
      <c r="D54" s="242">
        <f t="shared" ca="1" si="17"/>
        <v>0.35</v>
      </c>
      <c r="E54" s="241">
        <f t="shared" ca="1" si="17"/>
        <v>0.35</v>
      </c>
      <c r="F54" s="242">
        <f t="shared" ca="1" si="17"/>
        <v>0.35</v>
      </c>
      <c r="G54" s="242">
        <f t="shared" ca="1" si="17"/>
        <v>0</v>
      </c>
      <c r="H54" s="242">
        <f t="shared" ca="1" si="17"/>
        <v>0</v>
      </c>
      <c r="I54" s="242">
        <f t="shared" ca="1" si="17"/>
        <v>0.35</v>
      </c>
      <c r="J54" s="241">
        <f t="shared" ca="1" si="17"/>
        <v>0.35</v>
      </c>
      <c r="K54" s="242">
        <f t="shared" ca="1" si="17"/>
        <v>0.35</v>
      </c>
      <c r="L54" s="241">
        <f t="shared" ca="1" si="17"/>
        <v>0.35</v>
      </c>
      <c r="M54" s="242">
        <f t="shared" ca="1" si="17"/>
        <v>0.35</v>
      </c>
      <c r="N54" s="242">
        <f t="shared" ca="1" si="17"/>
        <v>0</v>
      </c>
      <c r="O54" s="242">
        <f t="shared" ca="1" si="17"/>
        <v>0</v>
      </c>
      <c r="P54" s="242">
        <f t="shared" ca="1" si="17"/>
        <v>0.35</v>
      </c>
      <c r="Q54" s="241">
        <f t="shared" ca="1" si="17"/>
        <v>0.35</v>
      </c>
      <c r="R54" s="242">
        <f t="shared" ca="1" si="17"/>
        <v>0.35</v>
      </c>
      <c r="S54" s="241">
        <f t="shared" ca="1" si="17"/>
        <v>0.35</v>
      </c>
      <c r="T54" s="241">
        <f t="shared" ca="1" si="17"/>
        <v>0.35</v>
      </c>
      <c r="U54" s="242">
        <f t="shared" ca="1" si="17"/>
        <v>0</v>
      </c>
      <c r="V54" s="242">
        <f t="shared" ca="1" si="17"/>
        <v>0</v>
      </c>
      <c r="W54" s="242">
        <f t="shared" ca="1" si="17"/>
        <v>0.35</v>
      </c>
      <c r="X54" s="241">
        <f t="shared" ca="1" si="17"/>
        <v>0.35</v>
      </c>
      <c r="Y54" s="242">
        <f t="shared" ca="1" si="17"/>
        <v>0.35</v>
      </c>
      <c r="Z54" s="243">
        <f t="shared" ca="1" si="17"/>
        <v>0.35</v>
      </c>
      <c r="AA54" s="242">
        <f t="shared" ca="1" si="17"/>
        <v>0.35</v>
      </c>
      <c r="AB54" s="242">
        <f t="shared" ca="1" si="17"/>
        <v>0</v>
      </c>
      <c r="AC54" s="242">
        <f t="shared" ca="1" si="17"/>
        <v>0</v>
      </c>
      <c r="AD54" s="242">
        <f t="shared" ca="1" si="17"/>
        <v>0.35</v>
      </c>
      <c r="AE54" s="241">
        <f t="shared" ca="1" si="17"/>
        <v>0.35</v>
      </c>
      <c r="AF54" s="205" t="str">
        <f t="shared" si="14"/>
        <v>Req. hours of work 100%</v>
      </c>
      <c r="AG54" s="218"/>
      <c r="AH54" s="238">
        <f ca="1">SUM(B54:AE54)</f>
        <v>7.349999999999997</v>
      </c>
      <c r="AI54" s="214"/>
      <c r="AJ54" s="209"/>
      <c r="AK54" s="209"/>
      <c r="AL54" s="209"/>
      <c r="AM54" s="208"/>
      <c r="AN54" s="209"/>
      <c r="AO54" s="209"/>
      <c r="AP54" s="119"/>
    </row>
    <row r="55" spans="1:42" s="38" customFormat="1" ht="15" customHeight="1" collapsed="1" x14ac:dyDescent="0.2">
      <c r="A55" s="244" t="s">
        <v>77</v>
      </c>
      <c r="B55" s="234">
        <f ca="1">ROUND((B51-B53)*1440,0)/1440</f>
        <v>0</v>
      </c>
      <c r="C55" s="234">
        <f t="shared" ref="C55:AE55" ca="1" si="18">ROUND((C51-C53)*1440,0)/1440</f>
        <v>-0.35</v>
      </c>
      <c r="D55" s="234">
        <f t="shared" ca="1" si="18"/>
        <v>-0.35</v>
      </c>
      <c r="E55" s="236">
        <f t="shared" ca="1" si="18"/>
        <v>-0.35</v>
      </c>
      <c r="F55" s="234">
        <f t="shared" ca="1" si="18"/>
        <v>-0.35</v>
      </c>
      <c r="G55" s="234">
        <f t="shared" ca="1" si="18"/>
        <v>0</v>
      </c>
      <c r="H55" s="234">
        <f t="shared" ca="1" si="18"/>
        <v>0</v>
      </c>
      <c r="I55" s="234">
        <f t="shared" ca="1" si="18"/>
        <v>-0.35</v>
      </c>
      <c r="J55" s="236">
        <f t="shared" ca="1" si="18"/>
        <v>-0.35</v>
      </c>
      <c r="K55" s="234">
        <f t="shared" ca="1" si="18"/>
        <v>-0.35</v>
      </c>
      <c r="L55" s="236">
        <f t="shared" ca="1" si="18"/>
        <v>-0.35</v>
      </c>
      <c r="M55" s="234">
        <f t="shared" ca="1" si="18"/>
        <v>-0.35</v>
      </c>
      <c r="N55" s="234">
        <f t="shared" ca="1" si="18"/>
        <v>0</v>
      </c>
      <c r="O55" s="234">
        <f t="shared" ca="1" si="18"/>
        <v>0</v>
      </c>
      <c r="P55" s="234">
        <f t="shared" ca="1" si="18"/>
        <v>-0.35</v>
      </c>
      <c r="Q55" s="236">
        <f t="shared" ca="1" si="18"/>
        <v>-0.35</v>
      </c>
      <c r="R55" s="234">
        <f t="shared" ca="1" si="18"/>
        <v>-0.35</v>
      </c>
      <c r="S55" s="236">
        <f t="shared" ca="1" si="18"/>
        <v>-0.35</v>
      </c>
      <c r="T55" s="236">
        <f t="shared" ca="1" si="18"/>
        <v>-0.35</v>
      </c>
      <c r="U55" s="234">
        <f t="shared" ca="1" si="18"/>
        <v>0</v>
      </c>
      <c r="V55" s="234">
        <f t="shared" ca="1" si="18"/>
        <v>0</v>
      </c>
      <c r="W55" s="234">
        <f t="shared" ca="1" si="18"/>
        <v>-0.35</v>
      </c>
      <c r="X55" s="236">
        <f t="shared" ca="1" si="18"/>
        <v>-0.35</v>
      </c>
      <c r="Y55" s="234">
        <f t="shared" ca="1" si="18"/>
        <v>-0.35</v>
      </c>
      <c r="Z55" s="237">
        <f t="shared" ca="1" si="18"/>
        <v>-0.35</v>
      </c>
      <c r="AA55" s="234">
        <f t="shared" ca="1" si="18"/>
        <v>-0.35</v>
      </c>
      <c r="AB55" s="234">
        <f t="shared" ca="1" si="18"/>
        <v>0</v>
      </c>
      <c r="AC55" s="234">
        <f t="shared" ca="1" si="18"/>
        <v>0</v>
      </c>
      <c r="AD55" s="234">
        <f t="shared" ca="1" si="18"/>
        <v>-0.35</v>
      </c>
      <c r="AE55" s="236">
        <f t="shared" ca="1" si="18"/>
        <v>-0.35</v>
      </c>
      <c r="AF55" s="205" t="str">
        <f t="shared" si="14"/>
        <v>+/- required/actual hours daily</v>
      </c>
      <c r="AG55" s="218"/>
      <c r="AH55" s="238">
        <f ca="1">SUM(B55:AE55)</f>
        <v>-7.349999999999997</v>
      </c>
      <c r="AI55" s="214"/>
      <c r="AJ55" s="209"/>
      <c r="AK55" s="245">
        <f ca="1">IF(EB.Anwendung&lt;&gt;"",IF(MONTH(Monat.Tag1)=1,0,IF(MONTH(Monat.Tag1)=2,January!Monat.Soll_Ist_UeVM,IF(MONTH(Monat.Tag1)=3,February!Monat.Soll_Ist_UeVM,IF(MONTH(Monat.Tag1)=4,March!Monat.Soll_Ist_UeVM,IF(MONTH(Monat.Tag1)=5,April!Monat.Soll_Ist_UeVM,IF(MONTH(Monat.Tag1)=6,May!Monat.Soll_Ist_UeVM,IF(MONTH(Monat.Tag1)=7,June!Monat.Soll_Ist_UeVM,IF(MONTH(Monat.Tag1)=8,July!Monat.Soll_Ist_UeVM,IF(MONTH(Monat.Tag1)=9,August!Monat.Soll_Ist_UeVM,IF(MONTH(Monat.Tag1)=10,September!Monat.Soll_Ist_UeVM,IF(MONTH(Monat.Tag1)=11,October!Monat.Soll_Ist_UeVM,IF(MONTH(Monat.Tag1)=12,November!Monat.Soll_Ist_UeVM,"")))))))))))),"")</f>
        <v>-6.549999999999998</v>
      </c>
      <c r="AL55" s="209"/>
      <c r="AM55" s="246">
        <f ca="1">IF(AG57="+",(AH55+AH57),(AH55-AH57))</f>
        <v>-7.349999999999997</v>
      </c>
      <c r="AN55" s="246">
        <f ca="1">SUM(OFFSET(J.AZSaldo.Total,-12,0,MONTH(Monat.Tag1),1))</f>
        <v>-42.674999999999983</v>
      </c>
      <c r="AO55" s="246">
        <f ca="1">J.AZSaldo.Total</f>
        <v>-88.07499999999996</v>
      </c>
      <c r="AP55" s="119"/>
    </row>
    <row r="56" spans="1:42" s="38" customFormat="1" ht="15" customHeight="1" x14ac:dyDescent="0.2">
      <c r="A56" s="244" t="s">
        <v>214</v>
      </c>
      <c r="B56" s="247">
        <f ca="1">IF(EB.Anwendung&lt;&gt;"",IF(DAY(B$10)=1,IF(MONTH(Monat.Tag1)=1,ROUND(EB.ÜVMMS*1440,0)/1440,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B$10&gt;TODAY(),EB.UJAustritt=""),0,B55),
IF(AND(B$10&gt;TODAY(),EB.UJAustritt=""),A56,A56+B55)),"")</f>
        <v>0</v>
      </c>
      <c r="C56" s="247">
        <f ca="1">IF(EB.Anwendung&lt;&gt;"",IF(DAY(C$10)=1,IF(MONTH(Monat.Tag1)=1,ROUND(EB.ÜVMMS*1440,0)/1440,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C$10&gt;TODAY(),EB.UJAustritt=""),0,C55),
IF(AND(C$10&gt;TODAY(),EB.UJAustritt=""),B56,B56+C55)),"")</f>
        <v>0</v>
      </c>
      <c r="D56" s="247">
        <f ca="1">IF(EB.Anwendung&lt;&gt;"",IF(DAY(D$10)=1,IF(MONTH(Monat.Tag1)=1,ROUND(EB.ÜVMMS*1440,0)/1440,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D$10&gt;TODAY(),EB.UJAustritt=""),0,D55),
IF(AND(D$10&gt;TODAY(),EB.UJAustritt=""),C56,C56+D55)),"")</f>
        <v>0</v>
      </c>
      <c r="E56" s="247">
        <f ca="1">IF(EB.Anwendung&lt;&gt;"",IF(DAY(E$10)=1,IF(MONTH(Monat.Tag1)=1,ROUND(EB.ÜVMMS*1440,0)/1440,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E$10&gt;TODAY(),EB.UJAustritt=""),0,E55),
IF(AND(E$10&gt;TODAY(),EB.UJAustritt=""),D56,D56+E55)),"")</f>
        <v>0</v>
      </c>
      <c r="F56" s="247">
        <f ca="1">IF(EB.Anwendung&lt;&gt;"",IF(DAY(F$10)=1,IF(MONTH(Monat.Tag1)=1,ROUND(EB.ÜVMMS*1440,0)/1440,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F$10&gt;TODAY(),EB.UJAustritt=""),0,F55),
IF(AND(F$10&gt;TODAY(),EB.UJAustritt=""),E56,E56+F55)),"")</f>
        <v>0</v>
      </c>
      <c r="G56" s="247">
        <f ca="1">IF(EB.Anwendung&lt;&gt;"",IF(DAY(G$10)=1,IF(MONTH(Monat.Tag1)=1,ROUND(EB.ÜVMMS*1440,0)/1440,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G$10&gt;TODAY(),EB.UJAustritt=""),0,G55),
IF(AND(G$10&gt;TODAY(),EB.UJAustritt=""),F56,F56+G55)),"")</f>
        <v>0</v>
      </c>
      <c r="H56" s="247">
        <f ca="1">IF(EB.Anwendung&lt;&gt;"",IF(DAY(H$10)=1,IF(MONTH(Monat.Tag1)=1,ROUND(EB.ÜVMMS*1440,0)/1440,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H$10&gt;TODAY(),EB.UJAustritt=""),0,H55),
IF(AND(H$10&gt;TODAY(),EB.UJAustritt=""),G56,G56+H55)),"")</f>
        <v>0</v>
      </c>
      <c r="I56" s="247">
        <f ca="1">IF(EB.Anwendung&lt;&gt;"",IF(DAY(I$10)=1,IF(MONTH(Monat.Tag1)=1,ROUND(EB.ÜVMMS*1440,0)/1440,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I$10&gt;TODAY(),EB.UJAustritt=""),0,I55),
IF(AND(I$10&gt;TODAY(),EB.UJAustritt=""),H56,H56+I55)),"")</f>
        <v>0</v>
      </c>
      <c r="J56" s="247">
        <f ca="1">IF(EB.Anwendung&lt;&gt;"",IF(DAY(J$10)=1,IF(MONTH(Monat.Tag1)=1,ROUND(EB.ÜVMMS*1440,0)/1440,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J$10&gt;TODAY(),EB.UJAustritt=""),0,J55),
IF(AND(J$10&gt;TODAY(),EB.UJAustritt=""),I56,I56+J55)),"")</f>
        <v>0</v>
      </c>
      <c r="K56" s="247">
        <f ca="1">IF(EB.Anwendung&lt;&gt;"",IF(DAY(K$10)=1,IF(MONTH(Monat.Tag1)=1,ROUND(EB.ÜVMMS*1440,0)/1440,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K$10&gt;TODAY(),EB.UJAustritt=""),0,K55),
IF(AND(K$10&gt;TODAY(),EB.UJAustritt=""),J56,J56+K55)),"")</f>
        <v>0</v>
      </c>
      <c r="L56" s="247">
        <f ca="1">IF(EB.Anwendung&lt;&gt;"",IF(DAY(L$10)=1,IF(MONTH(Monat.Tag1)=1,ROUND(EB.ÜVMMS*1440,0)/1440,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L$10&gt;TODAY(),EB.UJAustritt=""),0,L55),
IF(AND(L$10&gt;TODAY(),EB.UJAustritt=""),K56,K56+L55)),"")</f>
        <v>0</v>
      </c>
      <c r="M56" s="247">
        <f ca="1">IF(EB.Anwendung&lt;&gt;"",IF(DAY(M$10)=1,IF(MONTH(Monat.Tag1)=1,ROUND(EB.ÜVMMS*1440,0)/1440,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M$10&gt;TODAY(),EB.UJAustritt=""),0,M55),
IF(AND(M$10&gt;TODAY(),EB.UJAustritt=""),L56,L56+M55)),"")</f>
        <v>0</v>
      </c>
      <c r="N56" s="247">
        <f ca="1">IF(EB.Anwendung&lt;&gt;"",IF(DAY(N$10)=1,IF(MONTH(Monat.Tag1)=1,ROUND(EB.ÜVMMS*1440,0)/1440,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N$10&gt;TODAY(),EB.UJAustritt=""),0,N55),
IF(AND(N$10&gt;TODAY(),EB.UJAustritt=""),M56,M56+N55)),"")</f>
        <v>0</v>
      </c>
      <c r="O56" s="247">
        <f ca="1">IF(EB.Anwendung&lt;&gt;"",IF(DAY(O$10)=1,IF(MONTH(Monat.Tag1)=1,ROUND(EB.ÜVMMS*1440,0)/1440,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O$10&gt;TODAY(),EB.UJAustritt=""),0,O55),
IF(AND(O$10&gt;TODAY(),EB.UJAustritt=""),N56,N56+O55)),"")</f>
        <v>0</v>
      </c>
      <c r="P56" s="247">
        <f ca="1">IF(EB.Anwendung&lt;&gt;"",IF(DAY(P$10)=1,IF(MONTH(Monat.Tag1)=1,ROUND(EB.ÜVMMS*1440,0)/1440,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P$10&gt;TODAY(),EB.UJAustritt=""),0,P55),
IF(AND(P$10&gt;TODAY(),EB.UJAustritt=""),O56,O56+P55)),"")</f>
        <v>0</v>
      </c>
      <c r="Q56" s="247">
        <f ca="1">IF(EB.Anwendung&lt;&gt;"",IF(DAY(Q$10)=1,IF(MONTH(Monat.Tag1)=1,ROUND(EB.ÜVMMS*1440,0)/1440,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Q$10&gt;TODAY(),EB.UJAustritt=""),0,Q55),
IF(AND(Q$10&gt;TODAY(),EB.UJAustritt=""),P56,P56+Q55)),"")</f>
        <v>0</v>
      </c>
      <c r="R56" s="247">
        <f ca="1">IF(EB.Anwendung&lt;&gt;"",IF(DAY(R$10)=1,IF(MONTH(Monat.Tag1)=1,ROUND(EB.ÜVMMS*1440,0)/1440,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R$10&gt;TODAY(),EB.UJAustritt=""),0,R55),
IF(AND(R$10&gt;TODAY(),EB.UJAustritt=""),Q56,Q56+R55)),"")</f>
        <v>0</v>
      </c>
      <c r="S56" s="247">
        <f ca="1">IF(EB.Anwendung&lt;&gt;"",IF(DAY(S$10)=1,IF(MONTH(Monat.Tag1)=1,ROUND(EB.ÜVMMS*1440,0)/1440,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S$10&gt;TODAY(),EB.UJAustritt=""),0,S55),
IF(AND(S$10&gt;TODAY(),EB.UJAustritt=""),R56,R56+S55)),"")</f>
        <v>0</v>
      </c>
      <c r="T56" s="247">
        <f ca="1">IF(EB.Anwendung&lt;&gt;"",IF(DAY(T$10)=1,IF(MONTH(Monat.Tag1)=1,ROUND(EB.ÜVMMS*1440,0)/1440,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T$10&gt;TODAY(),EB.UJAustritt=""),0,T55),
IF(AND(T$10&gt;TODAY(),EB.UJAustritt=""),S56,S56+T55)),"")</f>
        <v>0</v>
      </c>
      <c r="U56" s="247">
        <f ca="1">IF(EB.Anwendung&lt;&gt;"",IF(DAY(U$10)=1,IF(MONTH(Monat.Tag1)=1,ROUND(EB.ÜVMMS*1440,0)/1440,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U$10&gt;TODAY(),EB.UJAustritt=""),0,U55),
IF(AND(U$10&gt;TODAY(),EB.UJAustritt=""),T56,T56+U55)),"")</f>
        <v>0</v>
      </c>
      <c r="V56" s="247">
        <f ca="1">IF(EB.Anwendung&lt;&gt;"",IF(DAY(V$10)=1,IF(MONTH(Monat.Tag1)=1,ROUND(EB.ÜVMMS*1440,0)/1440,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V$10&gt;TODAY(),EB.UJAustritt=""),0,V55),
IF(AND(V$10&gt;TODAY(),EB.UJAustritt=""),U56,U56+V55)),"")</f>
        <v>0</v>
      </c>
      <c r="W56" s="247">
        <f ca="1">IF(EB.Anwendung&lt;&gt;"",IF(DAY(W$10)=1,IF(MONTH(Monat.Tag1)=1,ROUND(EB.ÜVMMS*1440,0)/1440,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W$10&gt;TODAY(),EB.UJAustritt=""),0,W55),
IF(AND(W$10&gt;TODAY(),EB.UJAustritt=""),V56,V56+W55)),"")</f>
        <v>0</v>
      </c>
      <c r="X56" s="247">
        <f ca="1">IF(EB.Anwendung&lt;&gt;"",IF(DAY(X$10)=1,IF(MONTH(Monat.Tag1)=1,ROUND(EB.ÜVMMS*1440,0)/1440,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X$10&gt;TODAY(),EB.UJAustritt=""),0,X55),
IF(AND(X$10&gt;TODAY(),EB.UJAustritt=""),W56,W56+X55)),"")</f>
        <v>0</v>
      </c>
      <c r="Y56" s="247">
        <f ca="1">IF(EB.Anwendung&lt;&gt;"",IF(DAY(Y$10)=1,IF(MONTH(Monat.Tag1)=1,ROUND(EB.ÜVMMS*1440,0)/1440,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Y$10&gt;TODAY(),EB.UJAustritt=""),0,Y55),
IF(AND(Y$10&gt;TODAY(),EB.UJAustritt=""),X56,X56+Y55)),"")</f>
        <v>0</v>
      </c>
      <c r="Z56" s="247">
        <f ca="1">IF(EB.Anwendung&lt;&gt;"",IF(DAY(Z$10)=1,IF(MONTH(Monat.Tag1)=1,ROUND(EB.ÜVMMS*1440,0)/1440,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Z$10&gt;TODAY(),EB.UJAustritt=""),0,Z55),
IF(AND(Z$10&gt;TODAY(),EB.UJAustritt=""),Y56,Y56+Z55)),"")</f>
        <v>0</v>
      </c>
      <c r="AA56" s="247">
        <f ca="1">IF(EB.Anwendung&lt;&gt;"",IF(DAY(AA$10)=1,IF(MONTH(Monat.Tag1)=1,ROUND(EB.ÜVMMS*1440,0)/1440,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A$10&gt;TODAY(),EB.UJAustritt=""),0,AA55),
IF(AND(AA$10&gt;TODAY(),EB.UJAustritt=""),Z56,Z56+AA55)),"")</f>
        <v>0</v>
      </c>
      <c r="AB56" s="247">
        <f ca="1">IF(EB.Anwendung&lt;&gt;"",IF(DAY(AB$10)=1,IF(MONTH(Monat.Tag1)=1,ROUND(EB.ÜVMMS*1440,0)/1440,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B$10&gt;TODAY(),EB.UJAustritt=""),0,AB55),
IF(AND(AB$10&gt;TODAY(),EB.UJAustritt=""),AA56,AA56+AB55)),"")</f>
        <v>0</v>
      </c>
      <c r="AC56" s="247">
        <f ca="1">IF(EB.Anwendung&lt;&gt;"",IF(DAY(AC$10)=1,IF(MONTH(Monat.Tag1)=1,ROUND(EB.ÜVMMS*1440,0)/1440,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C$10&gt;TODAY(),EB.UJAustritt=""),0,AC55),
IF(AND(AC$10&gt;TODAY(),EB.UJAustritt=""),AB56,AB56+AC55)),"")</f>
        <v>0</v>
      </c>
      <c r="AD56" s="247">
        <f ca="1">IF(EB.Anwendung&lt;&gt;"",IF(DAY(AD$10)=1,IF(MONTH(Monat.Tag1)=1,ROUND(EB.ÜVMMS*1440,0)/1440,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D$10&gt;TODAY(),EB.UJAustritt=""),0,AD55),
IF(AND(AD$10&gt;TODAY(),EB.UJAustritt=""),AC56,AC56+AD55)),"")</f>
        <v>0</v>
      </c>
      <c r="AE56" s="247">
        <f ca="1">IF(EB.Anwendung&lt;&gt;"",IF(DAY(AE$10)=1,IF(MONTH(Monat.Tag1)=1,ROUND(EB.ÜVMMS*1440,0)/1440,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E$10&gt;TODAY(),EB.UJAustritt=""),0,AE55),
IF(AND(AE$10&gt;TODAY(),EB.UJAustritt=""),AD56,AD56+AE55)),"")</f>
        <v>0</v>
      </c>
      <c r="AF56" s="205" t="str">
        <f t="shared" si="14"/>
        <v>current extra/minus hours</v>
      </c>
      <c r="AG56" s="218"/>
      <c r="AH56" s="238">
        <f ca="1">OFFSET(B56,0,DAY(EOMONTH(Monat.Tag1,0))-1,1,1)</f>
        <v>0</v>
      </c>
      <c r="AI56" s="214"/>
      <c r="AJ56" s="209"/>
      <c r="AK56" s="209"/>
      <c r="AL56" s="209"/>
      <c r="AM56" s="208"/>
      <c r="AN56" s="209"/>
      <c r="AO56" s="209"/>
      <c r="AP56" s="119"/>
    </row>
    <row r="57" spans="1:42" s="42" customFormat="1" ht="15" customHeight="1" outlineLevel="1" x14ac:dyDescent="0.2">
      <c r="A57" s="248"/>
      <c r="B57" s="249"/>
      <c r="C57" s="249"/>
      <c r="D57" s="249"/>
      <c r="E57" s="191"/>
      <c r="F57" s="249"/>
      <c r="G57" s="249"/>
      <c r="H57" s="250"/>
      <c r="I57" s="249"/>
      <c r="J57" s="251"/>
      <c r="K57" s="249"/>
      <c r="L57" s="252"/>
      <c r="M57" s="249"/>
      <c r="N57" s="249"/>
      <c r="O57" s="250"/>
      <c r="P57" s="249"/>
      <c r="Q57" s="191"/>
      <c r="R57" s="249"/>
      <c r="S57" s="252"/>
      <c r="T57" s="249"/>
      <c r="U57" s="249"/>
      <c r="V57" s="250"/>
      <c r="W57" s="249"/>
      <c r="X57" s="253"/>
      <c r="Y57" s="249"/>
      <c r="Z57" s="191"/>
      <c r="AA57" s="249"/>
      <c r="AB57" s="249"/>
      <c r="AC57" s="250"/>
      <c r="AD57" s="249"/>
      <c r="AE57" s="191"/>
      <c r="AF57" s="212" t="s">
        <v>117</v>
      </c>
      <c r="AG57" s="43" t="s">
        <v>2</v>
      </c>
      <c r="AH57" s="73"/>
      <c r="AI57" s="255"/>
      <c r="AJ57" s="256"/>
      <c r="AK57" s="209"/>
      <c r="AL57" s="209"/>
      <c r="AM57" s="208"/>
      <c r="AN57" s="257"/>
      <c r="AO57" s="257"/>
      <c r="AP57" s="163"/>
    </row>
    <row r="58" spans="1:42" s="44" customFormat="1" ht="15" customHeight="1" x14ac:dyDescent="0.2">
      <c r="A58" s="258"/>
      <c r="B58" s="252"/>
      <c r="C58" s="252"/>
      <c r="D58" s="252"/>
      <c r="E58" s="191"/>
      <c r="F58" s="252"/>
      <c r="G58" s="252"/>
      <c r="H58" s="252"/>
      <c r="I58" s="252"/>
      <c r="J58" s="191"/>
      <c r="K58" s="252"/>
      <c r="L58" s="252"/>
      <c r="M58" s="252"/>
      <c r="N58" s="252"/>
      <c r="O58" s="252"/>
      <c r="P58" s="252"/>
      <c r="Q58" s="191"/>
      <c r="R58" s="252"/>
      <c r="S58" s="252"/>
      <c r="T58" s="252"/>
      <c r="U58" s="252"/>
      <c r="V58" s="252"/>
      <c r="W58" s="252"/>
      <c r="X58" s="253"/>
      <c r="Y58" s="252"/>
      <c r="Z58" s="191"/>
      <c r="AA58" s="252"/>
      <c r="AB58" s="252"/>
      <c r="AC58" s="252"/>
      <c r="AD58" s="252"/>
      <c r="AE58" s="191"/>
      <c r="AF58" s="260" t="s">
        <v>78</v>
      </c>
      <c r="AG58" s="218"/>
      <c r="AH58" s="238">
        <f ca="1">IF(AG57="+",(Monat.ZUeZ.Total+AH57),(Monat.ZUeZ.Total-AH57))</f>
        <v>0</v>
      </c>
      <c r="AI58" s="261"/>
      <c r="AJ58" s="262"/>
      <c r="AK58" s="245">
        <f ca="1">IF(EB.Anwendung&lt;&gt;"",IF(MONTH(Monat.Tag1)=1,EB.MMS,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f>
        <v>0</v>
      </c>
      <c r="AL58" s="209"/>
      <c r="AM58" s="246">
        <f ca="1">AH58</f>
        <v>0</v>
      </c>
      <c r="AN58" s="209"/>
      <c r="AO58" s="209"/>
      <c r="AP58" s="131"/>
    </row>
    <row r="59" spans="1:42" s="38" customFormat="1" ht="11.25" customHeight="1" x14ac:dyDescent="0.2">
      <c r="A59" s="220"/>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05"/>
      <c r="AG59" s="188"/>
      <c r="AH59" s="213"/>
      <c r="AI59" s="214"/>
      <c r="AJ59" s="209"/>
      <c r="AK59" s="209"/>
      <c r="AL59" s="209"/>
      <c r="AM59" s="208"/>
      <c r="AN59" s="209"/>
      <c r="AO59" s="209"/>
      <c r="AP59" s="119"/>
    </row>
    <row r="60" spans="1:42" s="38" customFormat="1" ht="15" customHeight="1" x14ac:dyDescent="0.2">
      <c r="A60" s="212" t="s">
        <v>217</v>
      </c>
      <c r="B60" s="263" t="str">
        <f ca="1">IF(EB.Wochenarbeitszeit=50/24,IF(T.50_Vetsuisse,IF(WEEKDAY(B$10,2)=7,MAX(0,SUM(OFFSET(B51,0,-MIN(6,DAY(B$10)-1),1,MIN(7,DAY(B$10))))+IF(AND(MONTH(Monat.Tag1)&lt;&gt;1,DAY(B$10)&lt;7),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-1/24*50),""),""),IF(B45=0,"",B45))</f>
        <v/>
      </c>
      <c r="C60" s="263" t="str">
        <f ca="1">IF(EB.Wochenarbeitszeit=50/24,IF(T.50_Vetsuisse,IF(WEEKDAY(C$10,2)=7,MAX(0,SUM(OFFSET(C51,0,-MIN(6,DAY(C$10)-1),1,MIN(7,DAY(C$10))))+IF(AND(MONTH(Monat.Tag1)&lt;&gt;1,DAY(C$10)&lt;7),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-1/24*50),""),""),IF(C45=0,"",C45))</f>
        <v/>
      </c>
      <c r="D60" s="263" t="str">
        <f ca="1">IF(EB.Wochenarbeitszeit=50/24,IF(T.50_Vetsuisse,IF(WEEKDAY(D$10,2)=7,MAX(0,SUM(OFFSET(D51,0,-MIN(6,DAY(D$10)-1),1,MIN(7,DAY(D$10))))+IF(AND(MONTH(Monat.Tag1)&lt;&gt;1,DAY(D$10)&lt;7),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-1/24*50),""),""),IF(D45=0,"",D45))</f>
        <v/>
      </c>
      <c r="E60" s="264" t="str">
        <f ca="1">IF(EB.Wochenarbeitszeit=50/24,IF(T.50_Vetsuisse,IF(WEEKDAY(E$10,2)=7,MAX(0,SUM(OFFSET(E51,0,-MIN(6,DAY(E$10)-1),1,MIN(7,DAY(E$10))))+IF(AND(MONTH(Monat.Tag1)&lt;&gt;1,DAY(E$10)&lt;7),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-1/24*50),""),""),IF(E45=0,"",E45))</f>
        <v/>
      </c>
      <c r="F60" s="263" t="str">
        <f ca="1">IF(EB.Wochenarbeitszeit=50/24,IF(T.50_Vetsuisse,IF(WEEKDAY(F$10,2)=7,MAX(0,SUM(OFFSET(F51,0,-MIN(6,DAY(F$10)-1),1,MIN(7,DAY(F$10))))+IF(AND(MONTH(Monat.Tag1)&lt;&gt;1,DAY(F$10)&lt;7),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-1/24*50),""),""),IF(F45=0,"",F45))</f>
        <v/>
      </c>
      <c r="G60" s="263" t="str">
        <f ca="1">IF(EB.Wochenarbeitszeit=50/24,IF(T.50_Vetsuisse,IF(WEEKDAY(G$10,2)=7,MAX(0,SUM(OFFSET(G51,0,-MIN(6,DAY(G$10)-1),1,MIN(7,DAY(G$10))))+IF(AND(MONTH(Monat.Tag1)&lt;&gt;1,DAY(G$10)&lt;7),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-1/24*50),""),""),IF(G45=0,"",G45))</f>
        <v/>
      </c>
      <c r="H60" s="263" t="str">
        <f ca="1">IF(EB.Wochenarbeitszeit=50/24,IF(T.50_Vetsuisse,IF(WEEKDAY(H$10,2)=7,MAX(0,SUM(OFFSET(H51,0,-MIN(6,DAY(H$10)-1),1,MIN(7,DAY(H$10))))+IF(AND(MONTH(Monat.Tag1)&lt;&gt;1,DAY(H$10)&lt;7),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-1/24*50),""),""),IF(H45=0,"",H45))</f>
        <v/>
      </c>
      <c r="I60" s="263" t="str">
        <f ca="1">IF(EB.Wochenarbeitszeit=50/24,IF(T.50_Vetsuisse,IF(WEEKDAY(I$10,2)=7,MAX(0,SUM(OFFSET(I51,0,-MIN(6,DAY(I$10)-1),1,MIN(7,DAY(I$10))))+IF(AND(MONTH(Monat.Tag1)&lt;&gt;1,DAY(I$10)&lt;7),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-1/24*50),""),""),IF(I45=0,"",I45))</f>
        <v/>
      </c>
      <c r="J60" s="264" t="str">
        <f ca="1">IF(EB.Wochenarbeitszeit=50/24,IF(T.50_Vetsuisse,IF(WEEKDAY(J$10,2)=7,MAX(0,SUM(OFFSET(J51,0,-MIN(6,DAY(J$10)-1),1,MIN(7,DAY(J$10))))+IF(AND(MONTH(Monat.Tag1)&lt;&gt;1,DAY(J$10)&lt;7),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-1/24*50),""),""),IF(J45=0,"",J45))</f>
        <v/>
      </c>
      <c r="K60" s="263" t="str">
        <f ca="1">IF(EB.Wochenarbeitszeit=50/24,IF(T.50_Vetsuisse,IF(WEEKDAY(K$10,2)=7,MAX(0,SUM(OFFSET(K51,0,-MIN(6,DAY(K$10)-1),1,MIN(7,DAY(K$10))))+IF(AND(MONTH(Monat.Tag1)&lt;&gt;1,DAY(K$10)&lt;7),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-1/24*50),""),""),IF(K45=0,"",K45))</f>
        <v/>
      </c>
      <c r="L60" s="264" t="str">
        <f ca="1">IF(EB.Wochenarbeitszeit=50/24,IF(T.50_Vetsuisse,IF(WEEKDAY(L$10,2)=7,MAX(0,SUM(OFFSET(L51,0,-MIN(6,DAY(L$10)-1),1,MIN(7,DAY(L$10))))+IF(AND(MONTH(Monat.Tag1)&lt;&gt;1,DAY(L$10)&lt;7),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-1/24*50),""),""),IF(L45=0,"",L45))</f>
        <v/>
      </c>
      <c r="M60" s="263" t="str">
        <f ca="1">IF(EB.Wochenarbeitszeit=50/24,IF(T.50_Vetsuisse,IF(WEEKDAY(M$10,2)=7,MAX(0,SUM(OFFSET(M51,0,-MIN(6,DAY(M$10)-1),1,MIN(7,DAY(M$10))))+IF(AND(MONTH(Monat.Tag1)&lt;&gt;1,DAY(M$10)&lt;7),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-1/24*50),""),""),IF(M45=0,"",M45))</f>
        <v/>
      </c>
      <c r="N60" s="263" t="str">
        <f ca="1">IF(EB.Wochenarbeitszeit=50/24,IF(T.50_Vetsuisse,IF(WEEKDAY(N$10,2)=7,MAX(0,SUM(OFFSET(N51,0,-MIN(6,DAY(N$10)-1),1,MIN(7,DAY(N$10))))+IF(AND(MONTH(Monat.Tag1)&lt;&gt;1,DAY(N$10)&lt;7),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-1/24*50),""),""),IF(N45=0,"",N45))</f>
        <v/>
      </c>
      <c r="O60" s="263" t="str">
        <f ca="1">IF(EB.Wochenarbeitszeit=50/24,IF(T.50_Vetsuisse,IF(WEEKDAY(O$10,2)=7,MAX(0,SUM(OFFSET(O51,0,-MIN(6,DAY(O$10)-1),1,MIN(7,DAY(O$10))))+IF(AND(MONTH(Monat.Tag1)&lt;&gt;1,DAY(O$10)&lt;7),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-1/24*50),""),""),IF(O45=0,"",O45))</f>
        <v/>
      </c>
      <c r="P60" s="263" t="str">
        <f ca="1">IF(EB.Wochenarbeitszeit=50/24,IF(T.50_Vetsuisse,IF(WEEKDAY(P$10,2)=7,MAX(0,SUM(OFFSET(P51,0,-MIN(6,DAY(P$10)-1),1,MIN(7,DAY(P$10))))+IF(AND(MONTH(Monat.Tag1)&lt;&gt;1,DAY(P$10)&lt;7),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-1/24*50),""),""),IF(P45=0,"",P45))</f>
        <v/>
      </c>
      <c r="Q60" s="264" t="str">
        <f ca="1">IF(EB.Wochenarbeitszeit=50/24,IF(T.50_Vetsuisse,IF(WEEKDAY(Q$10,2)=7,MAX(0,SUM(OFFSET(Q51,0,-MIN(6,DAY(Q$10)-1),1,MIN(7,DAY(Q$10))))+IF(AND(MONTH(Monat.Tag1)&lt;&gt;1,DAY(Q$10)&lt;7),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-1/24*50),""),""),IF(Q45=0,"",Q45))</f>
        <v/>
      </c>
      <c r="R60" s="263" t="str">
        <f ca="1">IF(EB.Wochenarbeitszeit=50/24,IF(T.50_Vetsuisse,IF(WEEKDAY(R$10,2)=7,MAX(0,SUM(OFFSET(R51,0,-MIN(6,DAY(R$10)-1),1,MIN(7,DAY(R$10))))+IF(AND(MONTH(Monat.Tag1)&lt;&gt;1,DAY(R$10)&lt;7),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-1/24*50),""),""),IF(R45=0,"",R45))</f>
        <v/>
      </c>
      <c r="S60" s="264" t="str">
        <f ca="1">IF(EB.Wochenarbeitszeit=50/24,IF(T.50_Vetsuisse,IF(WEEKDAY(S$10,2)=7,MAX(0,SUM(OFFSET(S51,0,-MIN(6,DAY(S$10)-1),1,MIN(7,DAY(S$10))))+IF(AND(MONTH(Monat.Tag1)&lt;&gt;1,DAY(S$10)&lt;7),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-1/24*50),""),""),IF(S45=0,"",S45))</f>
        <v/>
      </c>
      <c r="T60" s="264" t="str">
        <f ca="1">IF(EB.Wochenarbeitszeit=50/24,IF(T.50_Vetsuisse,IF(WEEKDAY(T$10,2)=7,MAX(0,SUM(OFFSET(T51,0,-MIN(6,DAY(T$10)-1),1,MIN(7,DAY(T$10))))+IF(AND(MONTH(Monat.Tag1)&lt;&gt;1,DAY(T$10)&lt;7),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-1/24*50),""),""),IF(T45=0,"",T45))</f>
        <v/>
      </c>
      <c r="U60" s="263" t="str">
        <f ca="1">IF(EB.Wochenarbeitszeit=50/24,IF(T.50_Vetsuisse,IF(WEEKDAY(U$10,2)=7,MAX(0,SUM(OFFSET(U51,0,-MIN(6,DAY(U$10)-1),1,MIN(7,DAY(U$10))))+IF(AND(MONTH(Monat.Tag1)&lt;&gt;1,DAY(U$10)&lt;7),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-1/24*50),""),""),IF(U45=0,"",U45))</f>
        <v/>
      </c>
      <c r="V60" s="263" t="str">
        <f ca="1">IF(EB.Wochenarbeitszeit=50/24,IF(T.50_Vetsuisse,IF(WEEKDAY(V$10,2)=7,MAX(0,SUM(OFFSET(V51,0,-MIN(6,DAY(V$10)-1),1,MIN(7,DAY(V$10))))+IF(AND(MONTH(Monat.Tag1)&lt;&gt;1,DAY(V$10)&lt;7),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-1/24*50),""),""),IF(V45=0,"",V45))</f>
        <v/>
      </c>
      <c r="W60" s="263" t="str">
        <f ca="1">IF(EB.Wochenarbeitszeit=50/24,IF(T.50_Vetsuisse,IF(WEEKDAY(W$10,2)=7,MAX(0,SUM(OFFSET(W51,0,-MIN(6,DAY(W$10)-1),1,MIN(7,DAY(W$10))))+IF(AND(MONTH(Monat.Tag1)&lt;&gt;1,DAY(W$10)&lt;7),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-1/24*50),""),""),IF(W45=0,"",W45))</f>
        <v/>
      </c>
      <c r="X60" s="264" t="str">
        <f ca="1">IF(EB.Wochenarbeitszeit=50/24,IF(T.50_Vetsuisse,IF(WEEKDAY(X$10,2)=7,MAX(0,SUM(OFFSET(X51,0,-MIN(6,DAY(X$10)-1),1,MIN(7,DAY(X$10))))+IF(AND(MONTH(Monat.Tag1)&lt;&gt;1,DAY(X$10)&lt;7),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-1/24*50),""),""),IF(X45=0,"",X45))</f>
        <v/>
      </c>
      <c r="Y60" s="263" t="str">
        <f ca="1">IF(EB.Wochenarbeitszeit=50/24,IF(T.50_Vetsuisse,IF(WEEKDAY(Y$10,2)=7,MAX(0,SUM(OFFSET(Y51,0,-MIN(6,DAY(Y$10)-1),1,MIN(7,DAY(Y$10))))+IF(AND(MONTH(Monat.Tag1)&lt;&gt;1,DAY(Y$10)&lt;7),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-1/24*50),""),""),IF(Y45=0,"",Y45))</f>
        <v/>
      </c>
      <c r="Z60" s="265" t="str">
        <f ca="1">IF(EB.Wochenarbeitszeit=50/24,IF(T.50_Vetsuisse,IF(WEEKDAY(Z$10,2)=7,MAX(0,SUM(OFFSET(Z51,0,-MIN(6,DAY(Z$10)-1),1,MIN(7,DAY(Z$10))))+IF(AND(MONTH(Monat.Tag1)&lt;&gt;1,DAY(Z$10)&lt;7),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-1/24*50),""),""),IF(Z45=0,"",Z45))</f>
        <v/>
      </c>
      <c r="AA60" s="263" t="str">
        <f ca="1">IF(EB.Wochenarbeitszeit=50/24,IF(T.50_Vetsuisse,IF(WEEKDAY(AA$10,2)=7,MAX(0,SUM(OFFSET(AA51,0,-MIN(6,DAY(AA$10)-1),1,MIN(7,DAY(AA$10))))+IF(AND(MONTH(Monat.Tag1)&lt;&gt;1,DAY(AA$10)&lt;7),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-1/24*50),""),""),IF(AA45=0,"",AA45))</f>
        <v/>
      </c>
      <c r="AB60" s="263" t="str">
        <f ca="1">IF(EB.Wochenarbeitszeit=50/24,IF(T.50_Vetsuisse,IF(WEEKDAY(AB$10,2)=7,MAX(0,SUM(OFFSET(AB51,0,-MIN(6,DAY(AB$10)-1),1,MIN(7,DAY(AB$10))))+IF(AND(MONTH(Monat.Tag1)&lt;&gt;1,DAY(AB$10)&lt;7),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-1/24*50),""),""),IF(AB45=0,"",AB45))</f>
        <v/>
      </c>
      <c r="AC60" s="263" t="str">
        <f ca="1">IF(EB.Wochenarbeitszeit=50/24,IF(T.50_Vetsuisse,IF(WEEKDAY(AC$10,2)=7,MAX(0,SUM(OFFSET(AC51,0,-MIN(6,DAY(AC$10)-1),1,MIN(7,DAY(AC$10))))+IF(AND(MONTH(Monat.Tag1)&lt;&gt;1,DAY(AC$10)&lt;7),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-1/24*50),""),""),IF(AC45=0,"",AC45))</f>
        <v/>
      </c>
      <c r="AD60" s="263" t="str">
        <f ca="1">IF(EB.Wochenarbeitszeit=50/24,IF(T.50_Vetsuisse,IF(WEEKDAY(AD$10,2)=7,MAX(0,SUM(OFFSET(AD51,0,-MIN(6,DAY(AD$10)-1),1,MIN(7,DAY(AD$10))))+IF(AND(MONTH(Monat.Tag1)&lt;&gt;1,DAY(AD$10)&lt;7),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-1/24*50),""),""),IF(AD45=0,"",AD45))</f>
        <v/>
      </c>
      <c r="AE60" s="264" t="str">
        <f ca="1">IF(EB.Wochenarbeitszeit=50/24,IF(T.50_Vetsuisse,IF(WEEKDAY(AE$10,2)=7,MAX(0,SUM(OFFSET(AE51,0,-MIN(6,DAY(AE$10)-1),1,MIN(7,DAY(AE$10))))+IF(AND(MONTH(Monat.Tag1)&lt;&gt;1,DAY(AE$10)&lt;7),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-1/24*50),""),""),IF(AE45=0,"",AE45))</f>
        <v/>
      </c>
      <c r="AF60" s="205" t="str">
        <f>A60</f>
        <v>Ordered overtime</v>
      </c>
      <c r="AG60" s="218"/>
      <c r="AH60" s="238">
        <f ca="1">SUM(B60:AE60)</f>
        <v>0</v>
      </c>
      <c r="AI60" s="214"/>
      <c r="AJ60" s="209"/>
      <c r="AK60" s="245">
        <f ca="1">IF(EB.Anwendung&lt;&gt;"",IF(MONTH(Monat.Tag1)=1,0,IF(MONTH(Monat.Tag1)=2,January!Monat.AnUeZUeVM,IF(MONTH(Monat.Tag1)=3,February!Monat.AnUeZUeVM,IF(MONTH(Monat.Tag1)=4,March!Monat.AnUeZUeVM,IF(MONTH(Monat.Tag1)=5,April!Monat.AnUeZUeVM,IF(MONTH(Monat.Tag1)=6,May!Monat.AnUeZUeVM,IF(MONTH(Monat.Tag1)=7,June!Monat.AnUeZUeVM,IF(MONTH(Monat.Tag1)=8,July!Monat.AnUeZUeVM,IF(MONTH(Monat.Tag1)=9,August!Monat.AnUeZUeVM,IF(MONTH(Monat.Tag1)=10,September!Monat.AnUeZUeVM,IF(MONTH(Monat.Tag1)=11,October!Monat.AnUeZUeVM,IF(MONTH(Monat.Tag1)=12,November!Monat.AnUeZUeVM,"")))))))))))),"")</f>
        <v>0</v>
      </c>
      <c r="AL60" s="209"/>
      <c r="AM60" s="246">
        <f ca="1">AH60+AK60</f>
        <v>0</v>
      </c>
      <c r="AN60" s="246">
        <f ca="1">SUM(OFFSET(Jahr.AngÜZ,-12,0,MONTH(Monat.Tag1),1))</f>
        <v>0</v>
      </c>
      <c r="AO60" s="246">
        <f ca="1">Jahr.AngÜZ</f>
        <v>0</v>
      </c>
      <c r="AP60" s="119"/>
    </row>
    <row r="61" spans="1:42" s="38" customFormat="1" ht="15" customHeight="1" x14ac:dyDescent="0.2">
      <c r="A61" s="212" t="s">
        <v>218</v>
      </c>
      <c r="B61" s="27"/>
      <c r="C61" s="27"/>
      <c r="D61" s="27"/>
      <c r="E61" s="27"/>
      <c r="F61" s="27"/>
      <c r="G61" s="27"/>
      <c r="H61" s="27"/>
      <c r="I61" s="27"/>
      <c r="J61" s="27"/>
      <c r="K61" s="27"/>
      <c r="L61" s="27"/>
      <c r="M61" s="27"/>
      <c r="N61" s="27"/>
      <c r="O61" s="27"/>
      <c r="P61" s="27"/>
      <c r="Q61" s="27"/>
      <c r="R61" s="27"/>
      <c r="S61" s="27"/>
      <c r="T61" s="27"/>
      <c r="U61" s="27"/>
      <c r="V61" s="27"/>
      <c r="W61" s="27"/>
      <c r="X61" s="27"/>
      <c r="Y61" s="27"/>
      <c r="Z61" s="39"/>
      <c r="AA61" s="27"/>
      <c r="AB61" s="27"/>
      <c r="AC61" s="27"/>
      <c r="AD61" s="27"/>
      <c r="AE61" s="27"/>
      <c r="AF61" s="205" t="str">
        <f>A61</f>
        <v>Compensation overtime</v>
      </c>
      <c r="AG61" s="218"/>
      <c r="AH61" s="238">
        <f>SUM(B61:AE61)</f>
        <v>0</v>
      </c>
      <c r="AI61" s="214"/>
      <c r="AJ61" s="209"/>
      <c r="AK61" s="209"/>
      <c r="AL61" s="209"/>
      <c r="AM61" s="208"/>
      <c r="AN61" s="209"/>
      <c r="AO61" s="209"/>
      <c r="AP61" s="119"/>
    </row>
    <row r="62" spans="1:42" s="42" customFormat="1" ht="15" hidden="1" customHeight="1" outlineLevel="1" x14ac:dyDescent="0.2">
      <c r="A62" s="248"/>
      <c r="B62" s="253"/>
      <c r="C62" s="253"/>
      <c r="D62" s="253"/>
      <c r="E62" s="191"/>
      <c r="F62" s="253"/>
      <c r="G62" s="253"/>
      <c r="H62" s="253"/>
      <c r="I62" s="253"/>
      <c r="J62" s="251"/>
      <c r="K62" s="253"/>
      <c r="L62" s="252"/>
      <c r="M62" s="253"/>
      <c r="N62" s="253"/>
      <c r="O62" s="253"/>
      <c r="P62" s="253"/>
      <c r="Q62" s="191"/>
      <c r="R62" s="253"/>
      <c r="S62" s="252"/>
      <c r="T62" s="253"/>
      <c r="U62" s="253"/>
      <c r="V62" s="253"/>
      <c r="W62" s="253"/>
      <c r="X62" s="253"/>
      <c r="Y62" s="253"/>
      <c r="Z62" s="191"/>
      <c r="AA62" s="253"/>
      <c r="AB62" s="253"/>
      <c r="AC62" s="253"/>
      <c r="AD62" s="253"/>
      <c r="AE62" s="191"/>
      <c r="AF62" s="267" t="s">
        <v>118</v>
      </c>
      <c r="AG62" s="268"/>
      <c r="AH62" s="238">
        <f ca="1">Monat.AnUeZ.Total-Monat.KomUeZ.Total</f>
        <v>0</v>
      </c>
      <c r="AI62" s="214"/>
      <c r="AJ62" s="257"/>
      <c r="AK62" s="257"/>
      <c r="AL62" s="209"/>
      <c r="AM62" s="257"/>
      <c r="AN62" s="257"/>
      <c r="AO62" s="257"/>
      <c r="AP62" s="163"/>
    </row>
    <row r="63" spans="1:42" s="38" customFormat="1" ht="15" customHeight="1" collapsed="1" x14ac:dyDescent="0.2">
      <c r="A63" s="220"/>
      <c r="B63" s="191"/>
      <c r="C63" s="191"/>
      <c r="D63" s="191"/>
      <c r="E63" s="191"/>
      <c r="F63" s="191"/>
      <c r="G63" s="191"/>
      <c r="H63" s="191"/>
      <c r="I63" s="191"/>
      <c r="J63" s="191"/>
      <c r="K63" s="191"/>
      <c r="L63" s="252"/>
      <c r="M63" s="191"/>
      <c r="N63" s="191"/>
      <c r="O63" s="191"/>
      <c r="P63" s="191"/>
      <c r="Q63" s="191"/>
      <c r="R63" s="191"/>
      <c r="S63" s="252"/>
      <c r="T63" s="191"/>
      <c r="U63" s="191"/>
      <c r="V63" s="191"/>
      <c r="W63" s="191"/>
      <c r="X63" s="253"/>
      <c r="Y63" s="191"/>
      <c r="Z63" s="191"/>
      <c r="AA63" s="191"/>
      <c r="AB63" s="191"/>
      <c r="AC63" s="191"/>
      <c r="AD63" s="191"/>
      <c r="AE63" s="191"/>
      <c r="AF63" s="212" t="s">
        <v>215</v>
      </c>
      <c r="AG63" s="218"/>
      <c r="AH63" s="238">
        <f ca="1">IF(T.50_Vetsuisse,0,IF(AND(AH62&gt;0,Monat.ÜZZSBerechtigt=INDEX(T.JaNein.Bereich,1,1)),ROUND(AH62*0.25*1440,0)/1440,0))</f>
        <v>0</v>
      </c>
      <c r="AI63" s="214"/>
      <c r="AJ63" s="209"/>
      <c r="AK63" s="257"/>
      <c r="AL63" s="209"/>
      <c r="AM63" s="257"/>
      <c r="AN63" s="257"/>
      <c r="AO63" s="257"/>
      <c r="AP63" s="119"/>
    </row>
    <row r="64" spans="1:42" s="38" customFormat="1" ht="15" hidden="1" customHeight="1" outlineLevel="1" x14ac:dyDescent="0.2">
      <c r="A64" s="220"/>
      <c r="B64" s="191"/>
      <c r="C64" s="191"/>
      <c r="D64" s="191"/>
      <c r="E64" s="191"/>
      <c r="F64" s="191"/>
      <c r="G64" s="191"/>
      <c r="H64" s="191"/>
      <c r="I64" s="191"/>
      <c r="J64" s="191"/>
      <c r="K64" s="191"/>
      <c r="L64" s="252"/>
      <c r="M64" s="191"/>
      <c r="N64" s="191"/>
      <c r="O64" s="191"/>
      <c r="P64" s="191"/>
      <c r="Q64" s="191"/>
      <c r="R64" s="191"/>
      <c r="S64" s="252"/>
      <c r="T64" s="191"/>
      <c r="U64" s="191"/>
      <c r="V64" s="191"/>
      <c r="W64" s="191"/>
      <c r="X64" s="253"/>
      <c r="Y64" s="191"/>
      <c r="Z64" s="191"/>
      <c r="AA64" s="191"/>
      <c r="AB64" s="191"/>
      <c r="AC64" s="191"/>
      <c r="AD64" s="191"/>
      <c r="AE64" s="191"/>
      <c r="AF64" s="212" t="s">
        <v>119</v>
      </c>
      <c r="AG64" s="45" t="s">
        <v>2</v>
      </c>
      <c r="AH64" s="46"/>
      <c r="AI64" s="270"/>
      <c r="AJ64" s="209"/>
      <c r="AK64" s="257"/>
      <c r="AL64" s="209"/>
      <c r="AM64" s="257"/>
      <c r="AN64" s="257"/>
      <c r="AO64" s="257"/>
      <c r="AP64" s="119"/>
    </row>
    <row r="65" spans="1:42" s="42" customFormat="1" ht="15" customHeight="1" collapsed="1" x14ac:dyDescent="0.2">
      <c r="A65" s="248"/>
      <c r="B65" s="253"/>
      <c r="C65" s="253"/>
      <c r="D65" s="253"/>
      <c r="E65" s="191"/>
      <c r="F65" s="253"/>
      <c r="G65" s="253"/>
      <c r="H65" s="253"/>
      <c r="I65" s="253"/>
      <c r="J65" s="191"/>
      <c r="K65" s="253"/>
      <c r="L65" s="252"/>
      <c r="M65" s="253"/>
      <c r="N65" s="253"/>
      <c r="O65" s="253"/>
      <c r="P65" s="253"/>
      <c r="Q65" s="191"/>
      <c r="R65" s="253"/>
      <c r="S65" s="252"/>
      <c r="T65" s="253"/>
      <c r="U65" s="253"/>
      <c r="V65" s="253"/>
      <c r="W65" s="253"/>
      <c r="X65" s="253"/>
      <c r="Y65" s="253"/>
      <c r="Z65" s="191"/>
      <c r="AA65" s="253"/>
      <c r="AB65" s="253"/>
      <c r="AC65" s="253"/>
      <c r="AD65" s="253"/>
      <c r="AE65" s="191"/>
      <c r="AF65" s="260" t="s">
        <v>219</v>
      </c>
      <c r="AG65" s="268"/>
      <c r="AH65" s="238">
        <f ca="1">IF(AG64="+",(AH62+AH63+AH64),(AH62+AH63-AH64))</f>
        <v>0</v>
      </c>
      <c r="AI65" s="261"/>
      <c r="AJ65" s="271"/>
      <c r="AK65" s="245">
        <f ca="1">IF(EB.Anwendung&lt;&gt;"",IF(MONTH(Monat.Tag1)=1,EB.UeZ,IF(MONTH(Monat.Tag1)=2,January!Monat.UeZUeVM,IF(MONTH(Monat.Tag1)=3,February!Monat.UeZUeVM,IF(MONTH(Monat.Tag1)=4,March!Monat.UeZUeVM,IF(MONTH(Monat.Tag1)=5,April!Monat.UeZUeVM,IF(MONTH(Monat.Tag1)=6,May!Monat.UeZUeVM,IF(MONTH(Monat.Tag1)=7,June!Monat.UeZUeVM,IF(MONTH(Monat.Tag1)=8,July!Monat.UeZUeVM,IF(MONTH(Monat.Tag1)=9,August!Monat.UeZUeVM,IF(MONTH(Monat.Tag1)=10,September!Monat.UeZUeVM,IF(MONTH(Monat.Tag1)=11,October!Monat.UeZUeVM,IF(MONTH(Monat.Tag1)=12,November!Monat.UeZUeVM,"")))))))))))),"")</f>
        <v>0</v>
      </c>
      <c r="AL65" s="209"/>
      <c r="AM65" s="246">
        <f ca="1">AH65+AK65</f>
        <v>0</v>
      </c>
      <c r="AN65" s="246">
        <f ca="1">SUM(OFFSET(J.UeZ.Total,-12,0,MONTH(Monat.Tag1),1))</f>
        <v>0</v>
      </c>
      <c r="AO65" s="246">
        <f ca="1">J.UeZ.Total</f>
        <v>0</v>
      </c>
      <c r="AP65" s="163"/>
    </row>
    <row r="66" spans="1:42" s="38" customFormat="1" ht="11.25" customHeight="1" outlineLevel="1" x14ac:dyDescent="0.2">
      <c r="A66" s="220"/>
      <c r="B66" s="354">
        <f ca="1">IF(EB.Anwendung&lt;&gt;"",
IF(AND(B$10&gt;TODAY(),$W$7&gt;0,B52&lt;=0),0,
IF(AND(B$10&gt;TODAY(),$W$7&lt;=0,B53&lt;=0),0,
IF(B85&lt;=0,1,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f>
        <v>0</v>
      </c>
      <c r="C66" s="354">
        <f ca="1">IF(EB.Anwendung&lt;&gt;"",
IF(AND(C$10&gt;TODAY(),$W$7&gt;0,C52&lt;=0),0,
IF(AND(C$10&gt;TODAY(),$W$7&lt;=0,C53&lt;=0),0,
IF(C85&lt;=0,1,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f>
        <v>1</v>
      </c>
      <c r="D66" s="354">
        <f ca="1">IF(EB.Anwendung&lt;&gt;"",
IF(AND(D$10&gt;TODAY(),$W$7&gt;0,D52&lt;=0),0,
IF(AND(D$10&gt;TODAY(),$W$7&lt;=0,D53&lt;=0),0,
IF(D85&lt;=0,1,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f>
        <v>1</v>
      </c>
      <c r="E66" s="354">
        <f ca="1">IF(EB.Anwendung&lt;&gt;"",
IF(AND(E$10&gt;TODAY(),$W$7&gt;0,E52&lt;=0),0,
IF(AND(E$10&gt;TODAY(),$W$7&lt;=0,E53&lt;=0),0,
IF(E85&lt;=0,1,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f>
        <v>1</v>
      </c>
      <c r="F66" s="354">
        <f ca="1">IF(EB.Anwendung&lt;&gt;"",
IF(AND(F$10&gt;TODAY(),$W$7&gt;0,F52&lt;=0),0,
IF(AND(F$10&gt;TODAY(),$W$7&lt;=0,F53&lt;=0),0,
IF(F85&lt;=0,1,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f>
        <v>1</v>
      </c>
      <c r="G66" s="354">
        <f ca="1">IF(EB.Anwendung&lt;&gt;"",
IF(AND(G$10&gt;TODAY(),$W$7&gt;0,G52&lt;=0),0,
IF(AND(G$10&gt;TODAY(),$W$7&lt;=0,G53&lt;=0),0,
IF(G85&lt;=0,1,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f>
        <v>0</v>
      </c>
      <c r="H66" s="354">
        <f ca="1">IF(EB.Anwendung&lt;&gt;"",
IF(AND(H$10&gt;TODAY(),$W$7&gt;0,H52&lt;=0),0,
IF(AND(H$10&gt;TODAY(),$W$7&lt;=0,H53&lt;=0),0,
IF(H85&lt;=0,1,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f>
        <v>0</v>
      </c>
      <c r="I66" s="354">
        <f ca="1">IF(EB.Anwendung&lt;&gt;"",
IF(AND(I$10&gt;TODAY(),$W$7&gt;0,I52&lt;=0),0,
IF(AND(I$10&gt;TODAY(),$W$7&lt;=0,I53&lt;=0),0,
IF(I85&lt;=0,1,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f>
        <v>1</v>
      </c>
      <c r="J66" s="354">
        <f ca="1">IF(EB.Anwendung&lt;&gt;"",
IF(AND(J$10&gt;TODAY(),$W$7&gt;0,J52&lt;=0),0,
IF(AND(J$10&gt;TODAY(),$W$7&lt;=0,J53&lt;=0),0,
IF(J85&lt;=0,1,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f>
        <v>1</v>
      </c>
      <c r="K66" s="354">
        <f ca="1">IF(EB.Anwendung&lt;&gt;"",
IF(AND(K$10&gt;TODAY(),$W$7&gt;0,K52&lt;=0),0,
IF(AND(K$10&gt;TODAY(),$W$7&lt;=0,K53&lt;=0),0,
IF(K85&lt;=0,1,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f>
        <v>1</v>
      </c>
      <c r="L66" s="431">
        <f ca="1">IF(EB.Anwendung&lt;&gt;"",
IF(AND(L$10&gt;TODAY(),$W$7&gt;0,L52&lt;=0),0,
IF(AND(L$10&gt;TODAY(),$W$7&lt;=0,L53&lt;=0),0,
IF(L85&lt;=0,1,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f>
        <v>1</v>
      </c>
      <c r="M66" s="354">
        <f ca="1">IF(EB.Anwendung&lt;&gt;"",
IF(AND(M$10&gt;TODAY(),$W$7&gt;0,M52&lt;=0),0,
IF(AND(M$10&gt;TODAY(),$W$7&lt;=0,M53&lt;=0),0,
IF(M85&lt;=0,1,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f>
        <v>1</v>
      </c>
      <c r="N66" s="354">
        <f ca="1">IF(EB.Anwendung&lt;&gt;"",
IF(AND(N$10&gt;TODAY(),$W$7&gt;0,N52&lt;=0),0,
IF(AND(N$10&gt;TODAY(),$W$7&lt;=0,N53&lt;=0),0,
IF(N85&lt;=0,1,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f>
        <v>0</v>
      </c>
      <c r="O66" s="354">
        <f ca="1">IF(EB.Anwendung&lt;&gt;"",
IF(AND(O$10&gt;TODAY(),$W$7&gt;0,O52&lt;=0),0,
IF(AND(O$10&gt;TODAY(),$W$7&lt;=0,O53&lt;=0),0,
IF(O85&lt;=0,1,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f>
        <v>0</v>
      </c>
      <c r="P66" s="354">
        <f ca="1">IF(EB.Anwendung&lt;&gt;"",
IF(AND(P$10&gt;TODAY(),$W$7&gt;0,P52&lt;=0),0,
IF(AND(P$10&gt;TODAY(),$W$7&lt;=0,P53&lt;=0),0,
IF(P85&lt;=0,1,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f>
        <v>1</v>
      </c>
      <c r="Q66" s="354">
        <f ca="1">IF(EB.Anwendung&lt;&gt;"",
IF(AND(Q$10&gt;TODAY(),$W$7&gt;0,Q52&lt;=0),0,
IF(AND(Q$10&gt;TODAY(),$W$7&lt;=0,Q53&lt;=0),0,
IF(Q85&lt;=0,1,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f>
        <v>1</v>
      </c>
      <c r="R66" s="354">
        <f ca="1">IF(EB.Anwendung&lt;&gt;"",
IF(AND(R$10&gt;TODAY(),$W$7&gt;0,R52&lt;=0),0,
IF(AND(R$10&gt;TODAY(),$W$7&lt;=0,R53&lt;=0),0,
IF(R85&lt;=0,1,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f>
        <v>1</v>
      </c>
      <c r="S66" s="431">
        <f ca="1">IF(EB.Anwendung&lt;&gt;"",
IF(AND(S$10&gt;TODAY(),$W$7&gt;0,S52&lt;=0),0,
IF(AND(S$10&gt;TODAY(),$W$7&lt;=0,S53&lt;=0),0,
IF(S85&lt;=0,1,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f>
        <v>1</v>
      </c>
      <c r="T66" s="354">
        <f ca="1">IF(EB.Anwendung&lt;&gt;"",
IF(AND(T$10&gt;TODAY(),$W$7&gt;0,T52&lt;=0),0,
IF(AND(T$10&gt;TODAY(),$W$7&lt;=0,T53&lt;=0),0,
IF(T85&lt;=0,1,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f>
        <v>1</v>
      </c>
      <c r="U66" s="354">
        <f ca="1">IF(EB.Anwendung&lt;&gt;"",
IF(AND(U$10&gt;TODAY(),$W$7&gt;0,U52&lt;=0),0,
IF(AND(U$10&gt;TODAY(),$W$7&lt;=0,U53&lt;=0),0,
IF(U85&lt;=0,1,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f>
        <v>0</v>
      </c>
      <c r="V66" s="354">
        <f ca="1">IF(EB.Anwendung&lt;&gt;"",
IF(AND(V$10&gt;TODAY(),$W$7&gt;0,V52&lt;=0),0,
IF(AND(V$10&gt;TODAY(),$W$7&lt;=0,V53&lt;=0),0,
IF(V85&lt;=0,1,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f>
        <v>0</v>
      </c>
      <c r="W66" s="354">
        <f ca="1">IF(EB.Anwendung&lt;&gt;"",
IF(AND(W$10&gt;TODAY(),$W$7&gt;0,W52&lt;=0),0,
IF(AND(W$10&gt;TODAY(),$W$7&lt;=0,W53&lt;=0),0,
IF(W85&lt;=0,1,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f>
        <v>1</v>
      </c>
      <c r="X66" s="432">
        <f ca="1">IF(EB.Anwendung&lt;&gt;"",
IF(AND(X$10&gt;TODAY(),$W$7&gt;0,X52&lt;=0),0,
IF(AND(X$10&gt;TODAY(),$W$7&lt;=0,X53&lt;=0),0,
IF(X85&lt;=0,1,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f>
        <v>1</v>
      </c>
      <c r="Y66" s="354">
        <f ca="1">IF(EB.Anwendung&lt;&gt;"",
IF(AND(Y$10&gt;TODAY(),$W$7&gt;0,Y52&lt;=0),0,
IF(AND(Y$10&gt;TODAY(),$W$7&lt;=0,Y53&lt;=0),0,
IF(Y85&lt;=0,1,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f>
        <v>1</v>
      </c>
      <c r="Z66" s="354">
        <f ca="1">IF(EB.Anwendung&lt;&gt;"",
IF(AND(Z$10&gt;TODAY(),$W$7&gt;0,Z52&lt;=0),0,
IF(AND(Z$10&gt;TODAY(),$W$7&lt;=0,Z53&lt;=0),0,
IF(Z85&lt;=0,1,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f>
        <v>1</v>
      </c>
      <c r="AA66" s="354">
        <f ca="1">IF(EB.Anwendung&lt;&gt;"",
IF(AND(AA$10&gt;TODAY(),$W$7&gt;0,AA52&lt;=0),0,
IF(AND(AA$10&gt;TODAY(),$W$7&lt;=0,AA53&lt;=0),0,
IF(AA85&lt;=0,1,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f>
        <v>1</v>
      </c>
      <c r="AB66" s="354">
        <f ca="1">IF(EB.Anwendung&lt;&gt;"",
IF(AND(AB$10&gt;TODAY(),$W$7&gt;0,AB52&lt;=0),0,
IF(AND(AB$10&gt;TODAY(),$W$7&lt;=0,AB53&lt;=0),0,
IF(AB85&lt;=0,1,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f>
        <v>0</v>
      </c>
      <c r="AC66" s="354">
        <f ca="1">IF(EB.Anwendung&lt;&gt;"",
IF(AND(AC$10&gt;TODAY(),$W$7&gt;0,AC52&lt;=0),0,
IF(AND(AC$10&gt;TODAY(),$W$7&lt;=0,AC53&lt;=0),0,
IF(AC85&lt;=0,1,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f>
        <v>0</v>
      </c>
      <c r="AD66" s="354">
        <f ca="1">IF(EB.Anwendung&lt;&gt;"",
IF(AND(AD$10&gt;TODAY(),$W$7&gt;0,AD52&lt;=0),0,
IF(AND(AD$10&gt;TODAY(),$W$7&lt;=0,AD53&lt;=0),0,
IF(AD85&lt;=0,1,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f>
        <v>1</v>
      </c>
      <c r="AE66" s="354">
        <f ca="1">IF(EB.Anwendung&lt;&gt;"",
IF(AND(AE$10&gt;TODAY(),$W$7&gt;0,AE52&lt;=0),0,
IF(AND(AE$10&gt;TODAY(),$W$7&lt;=0,AE53&lt;=0),0,
IF(AE85&lt;=0,1,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f>
        <v>1</v>
      </c>
      <c r="AF66" s="212"/>
      <c r="AG66" s="188"/>
      <c r="AH66" s="213"/>
      <c r="AI66" s="214"/>
      <c r="AJ66" s="209"/>
      <c r="AK66" s="209"/>
      <c r="AL66" s="209"/>
      <c r="AM66" s="208"/>
      <c r="AN66" s="209"/>
      <c r="AO66" s="209"/>
      <c r="AP66" s="119"/>
    </row>
    <row r="67" spans="1:42" s="38" customFormat="1" ht="15" customHeight="1" outlineLevel="1" x14ac:dyDescent="0.2">
      <c r="A67" s="212" t="s">
        <v>79</v>
      </c>
      <c r="B67" s="27"/>
      <c r="C67" s="27"/>
      <c r="D67" s="27"/>
      <c r="E67" s="27"/>
      <c r="F67" s="27"/>
      <c r="G67" s="27"/>
      <c r="H67" s="27"/>
      <c r="I67" s="27"/>
      <c r="J67" s="27"/>
      <c r="K67" s="27"/>
      <c r="L67" s="27"/>
      <c r="M67" s="27"/>
      <c r="N67" s="27"/>
      <c r="O67" s="27"/>
      <c r="P67" s="27"/>
      <c r="Q67" s="27"/>
      <c r="R67" s="27"/>
      <c r="S67" s="27"/>
      <c r="T67" s="27"/>
      <c r="U67" s="27"/>
      <c r="V67" s="27"/>
      <c r="W67" s="27"/>
      <c r="X67" s="27"/>
      <c r="Y67" s="27"/>
      <c r="Z67" s="39"/>
      <c r="AA67" s="27"/>
      <c r="AB67" s="27"/>
      <c r="AC67" s="27"/>
      <c r="AD67" s="27"/>
      <c r="AE67" s="27"/>
      <c r="AF67" s="205" t="str">
        <f ca="1">A67 &amp; IFERROR(IF(SUMPRODUCT((B66:AE66=0)*(B67:AE67&gt;0))&gt;0," (!)",""),"")</f>
        <v>Compensation working hours</v>
      </c>
      <c r="AG67" s="218"/>
      <c r="AH67" s="238">
        <f>SUM(B67:AE67)</f>
        <v>0</v>
      </c>
      <c r="AI67" s="261"/>
      <c r="AJ67" s="245">
        <f ca="1">OFFSET(EB.MKAStd.Knoten,MONTH(Monat.Tag1),0,1,1)</f>
        <v>0.4375</v>
      </c>
      <c r="AK67" s="272">
        <f ca="1">IF(EB.Anwendung&lt;&gt;"",IF(MONTH(Monat.Tag1)=1,0,IF(MONTH(Monat.Tag1)=2,January!Monat.KomUeVM,IF(MONTH(Monat.Tag1)=3,February!Monat.KomUeVM,IF(MONTH(Monat.Tag1)=4,March!Monat.KomUeVM,IF(MONTH(Monat.Tag1)=5,April!Monat.KomUeVM,IF(MONTH(Monat.Tag1)=6,May!Monat.KomUeVM,IF(MONTH(Monat.Tag1)=7,June!Monat.KomUeVM,IF(MONTH(Monat.Tag1)=8,July!Monat.KomUeVM,IF(MONTH(Monat.Tag1)=9,August!Monat.KomUeVM,IF(MONTH(Monat.Tag1)=10,September!Monat.KomUeVM,IF(MONTH(Monat.Tag1)=11,October!Monat.KomUeVM,IF(MONTH(Monat.Tag1)=12,November!Monat.KomUeVM,"")))))))))))),"")</f>
        <v>2.1875</v>
      </c>
      <c r="AL67" s="209"/>
      <c r="AM67" s="246">
        <f ca="1">AJ67+AK67-Monat.KomAZ.Total</f>
        <v>2.625</v>
      </c>
      <c r="AN67" s="246">
        <f ca="1">Jahresabrechnung!P12-SUM(OFFSET(Jahresabrechnung!P15,0,0,MONTH(Monat.Tag1),1))</f>
        <v>5.25</v>
      </c>
      <c r="AO67" s="246">
        <f ca="1">Jahresabrechnung!P28</f>
        <v>5.25</v>
      </c>
      <c r="AP67" s="119"/>
    </row>
    <row r="68" spans="1:42" s="38" customFormat="1" ht="11.25" customHeight="1" x14ac:dyDescent="0.2">
      <c r="A68" s="220"/>
      <c r="B68" s="434">
        <f ca="1">IF(EB.Anwendung&lt;&gt;"",
IF(B67&gt;0,0,
IF(SUM(B23,B45)&gt;0,1,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
)),"")</f>
        <v>1</v>
      </c>
      <c r="C68" s="434">
        <f ca="1">IF(EB.Anwendung&lt;&gt;"",
IF(C67&gt;0,0,
IF(SUM(C23,C45)&gt;0,1,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
)),"")</f>
        <v>1</v>
      </c>
      <c r="D68" s="434">
        <f ca="1">IF(EB.Anwendung&lt;&gt;"",
IF(D67&gt;0,0,
IF(SUM(D23,D45)&gt;0,1,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
)),"")</f>
        <v>1</v>
      </c>
      <c r="E68" s="434">
        <f ca="1">IF(EB.Anwendung&lt;&gt;"",
IF(E67&gt;0,0,
IF(SUM(E23,E45)&gt;0,1,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
)),"")</f>
        <v>1</v>
      </c>
      <c r="F68" s="434">
        <f ca="1">IF(EB.Anwendung&lt;&gt;"",
IF(F67&gt;0,0,
IF(SUM(F23,F45)&gt;0,1,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
)),"")</f>
        <v>1</v>
      </c>
      <c r="G68" s="434">
        <f ca="1">IF(EB.Anwendung&lt;&gt;"",
IF(G67&gt;0,0,
IF(SUM(G23,G45)&gt;0,1,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
)),"")</f>
        <v>1</v>
      </c>
      <c r="H68" s="434">
        <f ca="1">IF(EB.Anwendung&lt;&gt;"",
IF(H67&gt;0,0,
IF(SUM(H23,H45)&gt;0,1,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
)),"")</f>
        <v>1</v>
      </c>
      <c r="I68" s="434">
        <f ca="1">IF(EB.Anwendung&lt;&gt;"",
IF(I67&gt;0,0,
IF(SUM(I23,I45)&gt;0,1,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
)),"")</f>
        <v>1</v>
      </c>
      <c r="J68" s="434">
        <f ca="1">IF(EB.Anwendung&lt;&gt;"",
IF(J67&gt;0,0,
IF(SUM(J23,J45)&gt;0,1,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
)),"")</f>
        <v>1</v>
      </c>
      <c r="K68" s="434">
        <f ca="1">IF(EB.Anwendung&lt;&gt;"",
IF(K67&gt;0,0,
IF(SUM(K23,K45)&gt;0,1,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
)),"")</f>
        <v>1</v>
      </c>
      <c r="L68" s="434">
        <f ca="1">IF(EB.Anwendung&lt;&gt;"",
IF(L67&gt;0,0,
IF(SUM(L23,L45)&gt;0,1,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
)),"")</f>
        <v>1</v>
      </c>
      <c r="M68" s="434">
        <f ca="1">IF(EB.Anwendung&lt;&gt;"",
IF(M67&gt;0,0,
IF(SUM(M23,M45)&gt;0,1,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
)),"")</f>
        <v>1</v>
      </c>
      <c r="N68" s="434">
        <f ca="1">IF(EB.Anwendung&lt;&gt;"",
IF(N67&gt;0,0,
IF(SUM(N23,N45)&gt;0,1,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
)),"")</f>
        <v>1</v>
      </c>
      <c r="O68" s="434">
        <f ca="1">IF(EB.Anwendung&lt;&gt;"",
IF(O67&gt;0,0,
IF(SUM(O23,O45)&gt;0,1,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
)),"")</f>
        <v>1</v>
      </c>
      <c r="P68" s="434">
        <f ca="1">IF(EB.Anwendung&lt;&gt;"",
IF(P67&gt;0,0,
IF(SUM(P23,P45)&gt;0,1,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
)),"")</f>
        <v>1</v>
      </c>
      <c r="Q68" s="434">
        <f ca="1">IF(EB.Anwendung&lt;&gt;"",
IF(Q67&gt;0,0,
IF(SUM(Q23,Q45)&gt;0,1,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
)),"")</f>
        <v>1</v>
      </c>
      <c r="R68" s="434">
        <f ca="1">IF(EB.Anwendung&lt;&gt;"",
IF(R67&gt;0,0,
IF(SUM(R23,R45)&gt;0,1,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
)),"")</f>
        <v>1</v>
      </c>
      <c r="S68" s="434">
        <f ca="1">IF(EB.Anwendung&lt;&gt;"",
IF(S67&gt;0,0,
IF(SUM(S23,S45)&gt;0,1,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
)),"")</f>
        <v>1</v>
      </c>
      <c r="T68" s="434">
        <f ca="1">IF(EB.Anwendung&lt;&gt;"",
IF(T67&gt;0,0,
IF(SUM(T23,T45)&gt;0,1,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
)),"")</f>
        <v>1</v>
      </c>
      <c r="U68" s="434">
        <f ca="1">IF(EB.Anwendung&lt;&gt;"",
IF(U67&gt;0,0,
IF(SUM(U23,U45)&gt;0,1,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
)),"")</f>
        <v>1</v>
      </c>
      <c r="V68" s="434">
        <f ca="1">IF(EB.Anwendung&lt;&gt;"",
IF(V67&gt;0,0,
IF(SUM(V23,V45)&gt;0,1,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
)),"")</f>
        <v>1</v>
      </c>
      <c r="W68" s="434">
        <f ca="1">IF(EB.Anwendung&lt;&gt;"",
IF(W67&gt;0,0,
IF(SUM(W23,W45)&gt;0,1,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
)),"")</f>
        <v>1</v>
      </c>
      <c r="X68" s="434">
        <f ca="1">IF(EB.Anwendung&lt;&gt;"",
IF(X67&gt;0,0,
IF(SUM(X23,X45)&gt;0,1,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
)),"")</f>
        <v>1</v>
      </c>
      <c r="Y68" s="434">
        <f ca="1">IF(EB.Anwendung&lt;&gt;"",
IF(Y67&gt;0,0,
IF(SUM(Y23,Y45)&gt;0,1,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
)),"")</f>
        <v>1</v>
      </c>
      <c r="Z68" s="434">
        <f ca="1">IF(EB.Anwendung&lt;&gt;"",
IF(Z67&gt;0,0,
IF(SUM(Z23,Z45)&gt;0,1,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
)),"")</f>
        <v>1</v>
      </c>
      <c r="AA68" s="434">
        <f ca="1">IF(EB.Anwendung&lt;&gt;"",
IF(AA67&gt;0,0,
IF(SUM(AA23,AA45)&gt;0,1,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
)),"")</f>
        <v>1</v>
      </c>
      <c r="AB68" s="434">
        <f ca="1">IF(EB.Anwendung&lt;&gt;"",
IF(AB67&gt;0,0,
IF(SUM(AB23,AB45)&gt;0,1,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
)),"")</f>
        <v>1</v>
      </c>
      <c r="AC68" s="434">
        <f ca="1">IF(EB.Anwendung&lt;&gt;"",
IF(AC67&gt;0,0,
IF(SUM(AC23,AC45)&gt;0,1,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
)),"")</f>
        <v>1</v>
      </c>
      <c r="AD68" s="434">
        <f ca="1">IF(EB.Anwendung&lt;&gt;"",
IF(AD67&gt;0,0,
IF(SUM(AD23,AD45)&gt;0,1,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
)),"")</f>
        <v>1</v>
      </c>
      <c r="AE68" s="434">
        <f ca="1">IF(EB.Anwendung&lt;&gt;"",
IF(AE67&gt;0,0,
IF(SUM(AE23,AE45)&gt;0,1,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
)),"")</f>
        <v>1</v>
      </c>
      <c r="AF68" s="205"/>
      <c r="AG68" s="188"/>
      <c r="AH68" s="213"/>
      <c r="AI68" s="214"/>
      <c r="AJ68" s="209"/>
      <c r="AK68" s="209"/>
      <c r="AL68" s="209"/>
      <c r="AM68" s="436">
        <f ca="1">IF(OFFSET(A68,0,DAY(EOMONTH(Monat.Tag1,0)))=0,0,1)</f>
        <v>1</v>
      </c>
      <c r="AN68" s="209"/>
      <c r="AO68" s="209"/>
      <c r="AP68" s="119"/>
    </row>
    <row r="69" spans="1:42" s="38" customFormat="1" ht="15" hidden="1" customHeight="1" x14ac:dyDescent="0.2">
      <c r="A69" s="212" t="s">
        <v>220</v>
      </c>
      <c r="B69" s="273">
        <f t="shared" ref="B69:AE69" ca="1" si="19">IF(AND(T.50_Vetsuisse,B72=INDEX(T.JaNein.Bereich,1,1),B73&gt;0,MOD(IFERROR(MATCH(1,B13:B22,0),1),2)=0),1,
IF(AND(T.ServiceCenterIrchel,B72=INDEX(T.JaNein.Bereich,1,1),B77&gt;0),1,
IF(AND(T.50_Vetsuisse=FALSE,T.ServiceCenterIrchel=FALSE,B77&gt;0),1,0)))</f>
        <v>0</v>
      </c>
      <c r="C69" s="273">
        <f t="shared" ca="1" si="19"/>
        <v>0</v>
      </c>
      <c r="D69" s="273">
        <f t="shared" ca="1" si="19"/>
        <v>0</v>
      </c>
      <c r="E69" s="273">
        <f t="shared" ca="1" si="19"/>
        <v>0</v>
      </c>
      <c r="F69" s="273">
        <f t="shared" ca="1" si="19"/>
        <v>0</v>
      </c>
      <c r="G69" s="273">
        <f t="shared" ca="1" si="19"/>
        <v>0</v>
      </c>
      <c r="H69" s="273">
        <f t="shared" ca="1" si="19"/>
        <v>0</v>
      </c>
      <c r="I69" s="273">
        <f t="shared" ca="1" si="19"/>
        <v>0</v>
      </c>
      <c r="J69" s="273">
        <f t="shared" ca="1" si="19"/>
        <v>0</v>
      </c>
      <c r="K69" s="273">
        <f t="shared" ca="1" si="19"/>
        <v>0</v>
      </c>
      <c r="L69" s="273">
        <f t="shared" ca="1" si="19"/>
        <v>0</v>
      </c>
      <c r="M69" s="273">
        <f t="shared" ca="1" si="19"/>
        <v>0</v>
      </c>
      <c r="N69" s="273">
        <f t="shared" ca="1" si="19"/>
        <v>0</v>
      </c>
      <c r="O69" s="273">
        <f t="shared" ca="1" si="19"/>
        <v>0</v>
      </c>
      <c r="P69" s="273">
        <f t="shared" ca="1" si="19"/>
        <v>0</v>
      </c>
      <c r="Q69" s="273">
        <f t="shared" ca="1" si="19"/>
        <v>0</v>
      </c>
      <c r="R69" s="273">
        <f t="shared" ca="1" si="19"/>
        <v>0</v>
      </c>
      <c r="S69" s="273">
        <f t="shared" ca="1" si="19"/>
        <v>0</v>
      </c>
      <c r="T69" s="273">
        <f t="shared" ca="1" si="19"/>
        <v>0</v>
      </c>
      <c r="U69" s="273">
        <f t="shared" ca="1" si="19"/>
        <v>0</v>
      </c>
      <c r="V69" s="273">
        <f t="shared" ca="1" si="19"/>
        <v>0</v>
      </c>
      <c r="W69" s="273">
        <f t="shared" ca="1" si="19"/>
        <v>0</v>
      </c>
      <c r="X69" s="273">
        <f t="shared" ca="1" si="19"/>
        <v>0</v>
      </c>
      <c r="Y69" s="273">
        <f t="shared" ca="1" si="19"/>
        <v>0</v>
      </c>
      <c r="Z69" s="273">
        <f t="shared" ca="1" si="19"/>
        <v>0</v>
      </c>
      <c r="AA69" s="273">
        <f t="shared" ca="1" si="19"/>
        <v>0</v>
      </c>
      <c r="AB69" s="273">
        <f t="shared" ca="1" si="19"/>
        <v>0</v>
      </c>
      <c r="AC69" s="273">
        <f t="shared" ca="1" si="19"/>
        <v>0</v>
      </c>
      <c r="AD69" s="273">
        <f t="shared" ca="1" si="19"/>
        <v>0</v>
      </c>
      <c r="AE69" s="273">
        <f t="shared" ca="1" si="19"/>
        <v>0</v>
      </c>
      <c r="AF69" s="205" t="str">
        <f>A69</f>
        <v>Counter night shift</v>
      </c>
      <c r="AG69" s="274"/>
      <c r="AH69" s="275">
        <f ca="1">SUM(B69:AE69)</f>
        <v>0</v>
      </c>
      <c r="AI69" s="261"/>
      <c r="AJ69" s="224"/>
      <c r="AK69" s="276">
        <f ca="1">IF(EB.Anwendung&lt;&gt;"",IF(MONTH(Monat.Tag1)=1,0,IF(MONTH(Monat.Tag1)=2,January!Monat.ZählerNDUe,IF(MONTH(Monat.Tag1)=3,February!Monat.ZählerNDUe,IF(MONTH(Monat.Tag1)=4,March!Monat.ZählerNDUe,IF(MONTH(Monat.Tag1)=5,April!Monat.ZählerNDUe,IF(MONTH(Monat.Tag1)=6,May!Monat.ZählerNDUe,IF(MONTH(Monat.Tag1)=7,June!Monat.ZählerNDUe,IF(MONTH(Monat.Tag1)=8,July!Monat.ZählerNDUe,IF(MONTH(Monat.Tag1)=9,August!Monat.ZählerNDUe,IF(MONTH(Monat.Tag1)=10,September!Monat.ZählerNDUe,IF(MONTH(Monat.Tag1)=11,October!Monat.ZählerNDUe,IF(MONTH(Monat.Tag1)=12,November!Monat.ZählerNDUe,"")))))))))))),"")</f>
        <v>0</v>
      </c>
      <c r="AL69" s="209"/>
      <c r="AM69" s="277">
        <f ca="1">AK69+AH69</f>
        <v>0</v>
      </c>
      <c r="AN69" s="208"/>
      <c r="AO69" s="208"/>
      <c r="AP69" s="119"/>
    </row>
    <row r="70" spans="1:42" s="38" customFormat="1" ht="15" hidden="1" customHeight="1" x14ac:dyDescent="0.2">
      <c r="A70" s="212" t="s">
        <v>221</v>
      </c>
      <c r="B70" s="273">
        <f t="shared" ref="B70:AE70" ca="1" si="20">IF(DAY(B$10)=1,$AK$69,A70)+B69</f>
        <v>0</v>
      </c>
      <c r="C70" s="273">
        <f t="shared" ca="1" si="20"/>
        <v>0</v>
      </c>
      <c r="D70" s="273">
        <f t="shared" ca="1" si="20"/>
        <v>0</v>
      </c>
      <c r="E70" s="273">
        <f t="shared" ca="1" si="20"/>
        <v>0</v>
      </c>
      <c r="F70" s="273">
        <f t="shared" ca="1" si="20"/>
        <v>0</v>
      </c>
      <c r="G70" s="273">
        <f t="shared" ca="1" si="20"/>
        <v>0</v>
      </c>
      <c r="H70" s="273">
        <f t="shared" ca="1" si="20"/>
        <v>0</v>
      </c>
      <c r="I70" s="273">
        <f t="shared" ca="1" si="20"/>
        <v>0</v>
      </c>
      <c r="J70" s="273">
        <f t="shared" ca="1" si="20"/>
        <v>0</v>
      </c>
      <c r="K70" s="273">
        <f t="shared" ca="1" si="20"/>
        <v>0</v>
      </c>
      <c r="L70" s="273">
        <f t="shared" ca="1" si="20"/>
        <v>0</v>
      </c>
      <c r="M70" s="273">
        <f t="shared" ca="1" si="20"/>
        <v>0</v>
      </c>
      <c r="N70" s="273">
        <f t="shared" ca="1" si="20"/>
        <v>0</v>
      </c>
      <c r="O70" s="273">
        <f t="shared" ca="1" si="20"/>
        <v>0</v>
      </c>
      <c r="P70" s="273">
        <f t="shared" ca="1" si="20"/>
        <v>0</v>
      </c>
      <c r="Q70" s="273">
        <f t="shared" ca="1" si="20"/>
        <v>0</v>
      </c>
      <c r="R70" s="273">
        <f t="shared" ca="1" si="20"/>
        <v>0</v>
      </c>
      <c r="S70" s="273">
        <f t="shared" ca="1" si="20"/>
        <v>0</v>
      </c>
      <c r="T70" s="273">
        <f t="shared" ca="1" si="20"/>
        <v>0</v>
      </c>
      <c r="U70" s="273">
        <f t="shared" ca="1" si="20"/>
        <v>0</v>
      </c>
      <c r="V70" s="273">
        <f t="shared" ca="1" si="20"/>
        <v>0</v>
      </c>
      <c r="W70" s="273">
        <f t="shared" ca="1" si="20"/>
        <v>0</v>
      </c>
      <c r="X70" s="273">
        <f t="shared" ca="1" si="20"/>
        <v>0</v>
      </c>
      <c r="Y70" s="273">
        <f t="shared" ca="1" si="20"/>
        <v>0</v>
      </c>
      <c r="Z70" s="273">
        <f t="shared" ca="1" si="20"/>
        <v>0</v>
      </c>
      <c r="AA70" s="273">
        <f t="shared" ca="1" si="20"/>
        <v>0</v>
      </c>
      <c r="AB70" s="273">
        <f t="shared" ca="1" si="20"/>
        <v>0</v>
      </c>
      <c r="AC70" s="273">
        <f t="shared" ca="1" si="20"/>
        <v>0</v>
      </c>
      <c r="AD70" s="273">
        <f t="shared" ca="1" si="20"/>
        <v>0</v>
      </c>
      <c r="AE70" s="273">
        <f t="shared" ca="1" si="20"/>
        <v>0</v>
      </c>
      <c r="AF70" s="205" t="str">
        <f>A70</f>
        <v>Balance counter night shift</v>
      </c>
      <c r="AG70" s="228"/>
      <c r="AH70" s="224"/>
      <c r="AI70" s="278"/>
      <c r="AJ70" s="262"/>
      <c r="AK70" s="262"/>
      <c r="AL70" s="209"/>
      <c r="AM70" s="279"/>
      <c r="AN70" s="208"/>
      <c r="AO70" s="208"/>
      <c r="AP70" s="119"/>
    </row>
    <row r="71" spans="1:42" s="38" customFormat="1" ht="15" hidden="1" customHeight="1" outlineLevel="1" x14ac:dyDescent="0.2">
      <c r="A71" s="212" t="s">
        <v>222</v>
      </c>
      <c r="B71" s="40"/>
      <c r="C71" s="40"/>
      <c r="D71" s="40"/>
      <c r="E71" s="27"/>
      <c r="F71" s="40"/>
      <c r="G71" s="40"/>
      <c r="H71" s="40"/>
      <c r="I71" s="40"/>
      <c r="J71" s="27"/>
      <c r="K71" s="40"/>
      <c r="L71" s="27"/>
      <c r="M71" s="40"/>
      <c r="N71" s="40"/>
      <c r="O71" s="40"/>
      <c r="P71" s="40"/>
      <c r="Q71" s="27"/>
      <c r="R71" s="40"/>
      <c r="S71" s="27"/>
      <c r="T71" s="27"/>
      <c r="U71" s="40"/>
      <c r="V71" s="40"/>
      <c r="W71" s="40"/>
      <c r="X71" s="27"/>
      <c r="Y71" s="40"/>
      <c r="Z71" s="39"/>
      <c r="AA71" s="40"/>
      <c r="AB71" s="40"/>
      <c r="AC71" s="40"/>
      <c r="AD71" s="40"/>
      <c r="AE71" s="27"/>
      <c r="AF71" s="205" t="str">
        <f>A71</f>
        <v>Compensation TS night shift</v>
      </c>
      <c r="AG71" s="218"/>
      <c r="AH71" s="238">
        <f>SUM(B71:AE71)</f>
        <v>0</v>
      </c>
      <c r="AI71" s="261"/>
      <c r="AJ71" s="262"/>
      <c r="AK71" s="245">
        <f ca="1">IF(EB.Anwendung&lt;&gt;"",IF(MONTH(Monat.Tag1)=1,0,IF(MONTH(Monat.Tag1)=2,January!Monat.KompZZSNDUeVM,IF(MONTH(Monat.Tag1)=3,February!Monat.KompZZSNDUeVM,IF(MONTH(Monat.Tag1)=4,March!Monat.KompZZSNDUeVM,IF(MONTH(Monat.Tag1)=5,April!Monat.KompZZSNDUeVM,IF(MONTH(Monat.Tag1)=6,May!Monat.KompZZSNDUeVM,IF(MONTH(Monat.Tag1)=7,June!Monat.KompZZSNDUeVM,IF(MONTH(Monat.Tag1)=8,July!Monat.KompZZSNDUeVM,IF(MONTH(Monat.Tag1)=9,August!Monat.KompZZSNDUeVM,IF(MONTH(Monat.Tag1)=10,September!Monat.KompZZSNDUeVM,IF(MONTH(Monat.Tag1)=11,October!Monat.KompZZSNDUeVM,IF(MONTH(Monat.Tag1)=12,November!Monat.KompZZSNDUeVM,"")))))))))))),"")</f>
        <v>0</v>
      </c>
      <c r="AL71" s="209"/>
      <c r="AM71" s="246">
        <f ca="1">AH71+AK71</f>
        <v>0</v>
      </c>
      <c r="AN71" s="246">
        <f ca="1">SUM(OFFSET(Jahr.KompZZSND,-12,0,MONTH(Monat.Tag1),1))</f>
        <v>0</v>
      </c>
      <c r="AO71" s="246">
        <f ca="1">Jahr.KompZZSND</f>
        <v>0</v>
      </c>
      <c r="AP71" s="119"/>
    </row>
    <row r="72" spans="1:42" s="38" customFormat="1" ht="15" hidden="1" customHeight="1" outlineLevel="1" x14ac:dyDescent="0.2">
      <c r="A72" s="212" t="s">
        <v>223</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205" t="str">
        <f>A72</f>
        <v>Start pl. night shift Yes/No</v>
      </c>
      <c r="AG72" s="218"/>
      <c r="AH72" s="224"/>
      <c r="AI72" s="229">
        <f ca="1">IFERROR(SUMPRODUCT((B72:AE72=INDEX(T.JaNein.Bereich,1))*(B72:AE72&lt;&gt;"")),0)</f>
        <v>0</v>
      </c>
      <c r="AJ72" s="262"/>
      <c r="AK72" s="229">
        <f ca="1">AK69</f>
        <v>0</v>
      </c>
      <c r="AL72" s="209"/>
      <c r="AM72" s="277">
        <f ca="1">AM69</f>
        <v>0</v>
      </c>
      <c r="AN72" s="209"/>
      <c r="AO72" s="209"/>
      <c r="AP72" s="119"/>
    </row>
    <row r="73" spans="1:42" s="38" customFormat="1" ht="15" customHeight="1" outlineLevel="1" x14ac:dyDescent="0.2">
      <c r="A73" s="212" t="s">
        <v>88</v>
      </c>
      <c r="B73" s="280">
        <f t="shared" ref="B73:AE73" ca="1" si="21">IF(B$12=0,0,IF(OR(T.50_Vetsuisse,T.ServiceCenterIrchel),ROUND((B14-B13+MAX(0,T.Nachtab-MAX(T.Nachtbis,B14))-MAX(0,T.Nachtab-MAX(B13,T.Nachtbis))+(B13&gt;B14)*(1+T.Nachtbis-T.Nachtab)+B16-B15+MAX(0,T.Nachtab-MAX(T.Nachtbis,B16))-MAX(0,T.Nachtab-MAX(B15,T.Nachtbis))+(B15&gt;B16)*(1+T.Nachtbis-T.Nachtab)+B18-B17+MAX(0,T.Nachtab-MAX(T.Nachtbis,B18))-MAX(0,T.Nachtab-MAX(B17,T.Nachtbis))+(B17&gt;B18)*(1+T.Nachtbis-T.Nachtab)+B20-B19+MAX(0,T.Nachtab-MAX(T.Nachtbis,B20))-MAX(0,T.Nachtab-MAX(B19,T.Nachtbis))+(B19&gt;B20)*(1+T.Nachtbis-T.Nachtab)+B22-B21+MAX(0,T.Nachtab-MAX(T.Nachtbis,B22))-MAX(0,T.Nachtab-MAX(B21,T.Nachtbis))+(B21&gt;B22)*(1+T.Nachtbis-T.Nachtab))*1440,0)/1440,
IF(AND(WEEKDAY(B$10,2)&lt;6,B$11&lt;&gt;0),ROUND((B36-B35+MAX(0,T.Nachtab-MAX(T.Nachtbis,B36))-MAX(0,T.Nachtab-MAX(B35,T.Nachtbis))+(B35&gt;B36)*(1+T.Nachtbis-T.Nachtab)+B38-B37+MAX(0,T.Nachtab-MAX(T.Nachtbis,B38))-MAX(0,T.Nachtab-MAX(B37,T.Nachtbis))+(B37&gt;B38)*(1+T.Nachtbis-T.Nachtab)+B40-B39+MAX(0,T.Nachtab-MAX(T.Nachtbis,B40))-MAX(0,T.Nachtab-MAX(B39,T.Nachtbis))+(B39&gt;B40)*(1+T.Nachtbis-T.Nachtab)+B42-B41+MAX(0,T.Nachtab-MAX(T.Nachtbis,B42))-MAX(0,T.Nachtab-MAX(B41,T.Nachtbis))+(B41&gt;B42)*(1+T.Nachtbis-T.Nachtab)+B44-B43+MAX(0,T.Nachtab-MAX(T.Nachtbis,B44))-MAX(0,T.Nachtab-MAX(B43,T.Nachtbis))+(B43&gt;B44)*(1+T.Nachtbis-T.Nachtab))*1440,0)/1440,0)))</f>
        <v>0</v>
      </c>
      <c r="C73" s="280">
        <f t="shared" ca="1" si="21"/>
        <v>0</v>
      </c>
      <c r="D73" s="280">
        <f t="shared" ca="1" si="21"/>
        <v>0</v>
      </c>
      <c r="E73" s="280">
        <f t="shared" ca="1" si="21"/>
        <v>0</v>
      </c>
      <c r="F73" s="280">
        <f t="shared" ca="1" si="21"/>
        <v>0</v>
      </c>
      <c r="G73" s="280">
        <f t="shared" ca="1" si="21"/>
        <v>0</v>
      </c>
      <c r="H73" s="280">
        <f t="shared" ca="1" si="21"/>
        <v>0</v>
      </c>
      <c r="I73" s="280">
        <f t="shared" ca="1" si="21"/>
        <v>0</v>
      </c>
      <c r="J73" s="280">
        <f t="shared" ca="1" si="21"/>
        <v>0</v>
      </c>
      <c r="K73" s="280">
        <f t="shared" ca="1" si="21"/>
        <v>0</v>
      </c>
      <c r="L73" s="280">
        <f t="shared" ca="1" si="21"/>
        <v>0</v>
      </c>
      <c r="M73" s="280">
        <f t="shared" ca="1" si="21"/>
        <v>0</v>
      </c>
      <c r="N73" s="280">
        <f t="shared" ca="1" si="21"/>
        <v>0</v>
      </c>
      <c r="O73" s="280">
        <f t="shared" ca="1" si="21"/>
        <v>0</v>
      </c>
      <c r="P73" s="280">
        <f t="shared" ca="1" si="21"/>
        <v>0</v>
      </c>
      <c r="Q73" s="280">
        <f t="shared" ca="1" si="21"/>
        <v>0</v>
      </c>
      <c r="R73" s="280">
        <f t="shared" ca="1" si="21"/>
        <v>0</v>
      </c>
      <c r="S73" s="280">
        <f t="shared" ca="1" si="21"/>
        <v>0</v>
      </c>
      <c r="T73" s="280">
        <f t="shared" ca="1" si="21"/>
        <v>0</v>
      </c>
      <c r="U73" s="280">
        <f t="shared" ca="1" si="21"/>
        <v>0</v>
      </c>
      <c r="V73" s="280">
        <f t="shared" ca="1" si="21"/>
        <v>0</v>
      </c>
      <c r="W73" s="280">
        <f t="shared" ca="1" si="21"/>
        <v>0</v>
      </c>
      <c r="X73" s="280">
        <f t="shared" ca="1" si="21"/>
        <v>0</v>
      </c>
      <c r="Y73" s="280">
        <f t="shared" ca="1" si="21"/>
        <v>0</v>
      </c>
      <c r="Z73" s="280">
        <f t="shared" ca="1" si="21"/>
        <v>0</v>
      </c>
      <c r="AA73" s="280">
        <f t="shared" ca="1" si="21"/>
        <v>0</v>
      </c>
      <c r="AB73" s="280">
        <f t="shared" ca="1" si="21"/>
        <v>0</v>
      </c>
      <c r="AC73" s="280">
        <f t="shared" ca="1" si="21"/>
        <v>0</v>
      </c>
      <c r="AD73" s="280">
        <f t="shared" ca="1" si="21"/>
        <v>0</v>
      </c>
      <c r="AE73" s="280">
        <f t="shared" ca="1" si="21"/>
        <v>0</v>
      </c>
      <c r="AF73" s="205" t="str">
        <f>A73</f>
        <v>Night shift</v>
      </c>
      <c r="AG73" s="228"/>
      <c r="AH73" s="238">
        <f ca="1">SUM(B73:AE73)</f>
        <v>0</v>
      </c>
      <c r="AI73" s="229">
        <f ca="1">IF(OR(T.50_Vetsuisse,T.ServiceCenterIrchel),AH69,
IFERROR(SUMPRODUCT((B77:AE77&gt;0)*(B77:AE77&lt;&gt;"")),0))</f>
        <v>0</v>
      </c>
      <c r="AJ73" s="224"/>
      <c r="AK73" s="245">
        <f ca="1">IF(EB.Anwendung&lt;&gt;"",IF(MONTH(Monat.Tag1)=1,0,IF(MONTH(Monat.Tag1)=2,January!Monat.NDUeVM,IF(MONTH(Monat.Tag1)=3,February!Monat.NDUeVM,IF(MONTH(Monat.Tag1)=4,March!Monat.NDUeVM,IF(MONTH(Monat.Tag1)=5,April!Monat.NDUeVM,IF(MONTH(Monat.Tag1)=6,May!Monat.NDUeVM,IF(MONTH(Monat.Tag1)=7,June!Monat.NDUeVM,IF(MONTH(Monat.Tag1)=8,July!Monat.NDUeVM,IF(MONTH(Monat.Tag1)=9,August!Monat.NDUeVM,IF(MONTH(Monat.Tag1)=10,September!Monat.NDUeVM,IF(MONTH(Monat.Tag1)=11,October!Monat.NDUeVM,IF(MONTH(Monat.Tag1)=12,November!Monat.NDUeVM,"")))))))))))),"")</f>
        <v>0</v>
      </c>
      <c r="AL73" s="209"/>
      <c r="AM73" s="246">
        <f ca="1">AH73+AK73</f>
        <v>0</v>
      </c>
      <c r="AN73" s="208"/>
      <c r="AO73" s="208"/>
      <c r="AP73" s="119"/>
    </row>
    <row r="74" spans="1:42" s="38" customFormat="1" ht="3.75" hidden="1" customHeight="1" x14ac:dyDescent="0.2">
      <c r="A74" s="220"/>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205"/>
      <c r="AG74" s="188"/>
      <c r="AH74" s="213"/>
      <c r="AI74" s="214"/>
      <c r="AJ74" s="209"/>
      <c r="AK74" s="209"/>
      <c r="AL74" s="209"/>
      <c r="AM74" s="208"/>
      <c r="AN74" s="209"/>
      <c r="AO74" s="209"/>
      <c r="AP74" s="119"/>
    </row>
    <row r="75" spans="1:42" s="38" customFormat="1" ht="16.5" hidden="1" customHeight="1" outlineLevel="1" x14ac:dyDescent="0.2">
      <c r="A75" s="215" t="s">
        <v>252</v>
      </c>
      <c r="B75" s="216">
        <f t="shared" ref="B75:AE75" ca="1" si="22">IF(B73&gt;0,ROUND((B73-
IF(B13&lt;T.Nachtbis,MIN(T.Nachtbis-B13,B14-B13)+IF(B15&lt;T.Nachtbis,MIN(T.Nachtbis-B15,B16-B15)+IF(B17&lt;T.Nachtbis,MIN(T.Nachtbis-B17,B18-B17)+IF(B19&lt;T.Nachtbis,MIN(T.Nachtbis-B19,B20-B19)+IF(B21&lt;T.Nachtbis,MIN(T.Nachtbis-B21,B22-B21),0),0),0),0),0))*1440,0)/1440,0)</f>
        <v>0</v>
      </c>
      <c r="C75" s="216">
        <f t="shared" ca="1" si="22"/>
        <v>0</v>
      </c>
      <c r="D75" s="216">
        <f t="shared" ca="1" si="22"/>
        <v>0</v>
      </c>
      <c r="E75" s="216">
        <f t="shared" ca="1" si="22"/>
        <v>0</v>
      </c>
      <c r="F75" s="216">
        <f t="shared" ca="1" si="22"/>
        <v>0</v>
      </c>
      <c r="G75" s="216">
        <f t="shared" ca="1" si="22"/>
        <v>0</v>
      </c>
      <c r="H75" s="216">
        <f t="shared" ca="1" si="22"/>
        <v>0</v>
      </c>
      <c r="I75" s="216">
        <f t="shared" ca="1" si="22"/>
        <v>0</v>
      </c>
      <c r="J75" s="216">
        <f t="shared" ca="1" si="22"/>
        <v>0</v>
      </c>
      <c r="K75" s="216">
        <f t="shared" ca="1" si="22"/>
        <v>0</v>
      </c>
      <c r="L75" s="216">
        <f t="shared" ca="1" si="22"/>
        <v>0</v>
      </c>
      <c r="M75" s="216">
        <f t="shared" ca="1" si="22"/>
        <v>0</v>
      </c>
      <c r="N75" s="216">
        <f t="shared" ca="1" si="22"/>
        <v>0</v>
      </c>
      <c r="O75" s="216">
        <f t="shared" ca="1" si="22"/>
        <v>0</v>
      </c>
      <c r="P75" s="216">
        <f t="shared" ca="1" si="22"/>
        <v>0</v>
      </c>
      <c r="Q75" s="216">
        <f t="shared" ca="1" si="22"/>
        <v>0</v>
      </c>
      <c r="R75" s="216">
        <f t="shared" ca="1" si="22"/>
        <v>0</v>
      </c>
      <c r="S75" s="216">
        <f t="shared" ca="1" si="22"/>
        <v>0</v>
      </c>
      <c r="T75" s="216">
        <f t="shared" ca="1" si="22"/>
        <v>0</v>
      </c>
      <c r="U75" s="216">
        <f t="shared" ca="1" si="22"/>
        <v>0</v>
      </c>
      <c r="V75" s="216">
        <f t="shared" ca="1" si="22"/>
        <v>0</v>
      </c>
      <c r="W75" s="216">
        <f t="shared" ca="1" si="22"/>
        <v>0</v>
      </c>
      <c r="X75" s="216">
        <f t="shared" ca="1" si="22"/>
        <v>0</v>
      </c>
      <c r="Y75" s="216">
        <f t="shared" ca="1" si="22"/>
        <v>0</v>
      </c>
      <c r="Z75" s="216">
        <f t="shared" ca="1" si="22"/>
        <v>0</v>
      </c>
      <c r="AA75" s="216">
        <f t="shared" ca="1" si="22"/>
        <v>0</v>
      </c>
      <c r="AB75" s="216">
        <f t="shared" ca="1" si="22"/>
        <v>0</v>
      </c>
      <c r="AC75" s="216">
        <f t="shared" ca="1" si="22"/>
        <v>0</v>
      </c>
      <c r="AD75" s="216">
        <f t="shared" ca="1" si="22"/>
        <v>0</v>
      </c>
      <c r="AE75" s="216">
        <f t="shared" ca="1" si="22"/>
        <v>0</v>
      </c>
      <c r="AF75" s="217" t="str">
        <f>A75</f>
        <v>Total NS hours today</v>
      </c>
      <c r="AG75" s="188"/>
      <c r="AH75" s="213"/>
      <c r="AI75" s="214"/>
      <c r="AJ75" s="209"/>
      <c r="AK75" s="209"/>
      <c r="AL75" s="209"/>
      <c r="AM75" s="208"/>
      <c r="AN75" s="209"/>
      <c r="AO75" s="209"/>
      <c r="AP75" s="119"/>
    </row>
    <row r="76" spans="1:42" s="38" customFormat="1" ht="16.5" hidden="1" customHeight="1" outlineLevel="1" x14ac:dyDescent="0.2">
      <c r="A76" s="215" t="s">
        <v>253</v>
      </c>
      <c r="B76" s="225">
        <f t="shared" ref="B76:AE76" ca="1" si="23">B73-B75</f>
        <v>0</v>
      </c>
      <c r="C76" s="225">
        <f t="shared" ca="1" si="23"/>
        <v>0</v>
      </c>
      <c r="D76" s="225">
        <f t="shared" ca="1" si="23"/>
        <v>0</v>
      </c>
      <c r="E76" s="225">
        <f t="shared" ca="1" si="23"/>
        <v>0</v>
      </c>
      <c r="F76" s="225">
        <f t="shared" ca="1" si="23"/>
        <v>0</v>
      </c>
      <c r="G76" s="225">
        <f t="shared" ca="1" si="23"/>
        <v>0</v>
      </c>
      <c r="H76" s="225">
        <f t="shared" ca="1" si="23"/>
        <v>0</v>
      </c>
      <c r="I76" s="225">
        <f t="shared" ca="1" si="23"/>
        <v>0</v>
      </c>
      <c r="J76" s="225">
        <f t="shared" ca="1" si="23"/>
        <v>0</v>
      </c>
      <c r="K76" s="225">
        <f t="shared" ca="1" si="23"/>
        <v>0</v>
      </c>
      <c r="L76" s="225">
        <f t="shared" ca="1" si="23"/>
        <v>0</v>
      </c>
      <c r="M76" s="225">
        <f t="shared" ca="1" si="23"/>
        <v>0</v>
      </c>
      <c r="N76" s="225">
        <f t="shared" ca="1" si="23"/>
        <v>0</v>
      </c>
      <c r="O76" s="225">
        <f t="shared" ca="1" si="23"/>
        <v>0</v>
      </c>
      <c r="P76" s="225">
        <f t="shared" ca="1" si="23"/>
        <v>0</v>
      </c>
      <c r="Q76" s="225">
        <f t="shared" ca="1" si="23"/>
        <v>0</v>
      </c>
      <c r="R76" s="225">
        <f t="shared" ca="1" si="23"/>
        <v>0</v>
      </c>
      <c r="S76" s="225">
        <f t="shared" ca="1" si="23"/>
        <v>0</v>
      </c>
      <c r="T76" s="225">
        <f t="shared" ca="1" si="23"/>
        <v>0</v>
      </c>
      <c r="U76" s="225">
        <f t="shared" ca="1" si="23"/>
        <v>0</v>
      </c>
      <c r="V76" s="225">
        <f t="shared" ca="1" si="23"/>
        <v>0</v>
      </c>
      <c r="W76" s="225">
        <f t="shared" ca="1" si="23"/>
        <v>0</v>
      </c>
      <c r="X76" s="225">
        <f t="shared" ca="1" si="23"/>
        <v>0</v>
      </c>
      <c r="Y76" s="225">
        <f t="shared" ca="1" si="23"/>
        <v>0</v>
      </c>
      <c r="Z76" s="225">
        <f t="shared" ca="1" si="23"/>
        <v>0</v>
      </c>
      <c r="AA76" s="225">
        <f t="shared" ca="1" si="23"/>
        <v>0</v>
      </c>
      <c r="AB76" s="225">
        <f t="shared" ca="1" si="23"/>
        <v>0</v>
      </c>
      <c r="AC76" s="225">
        <f t="shared" ca="1" si="23"/>
        <v>0</v>
      </c>
      <c r="AD76" s="225">
        <f t="shared" ca="1" si="23"/>
        <v>0</v>
      </c>
      <c r="AE76" s="225">
        <f t="shared" ca="1" si="23"/>
        <v>0</v>
      </c>
      <c r="AF76" s="217" t="str">
        <f>A76</f>
        <v>Total NS hours yesterday</v>
      </c>
      <c r="AG76" s="188"/>
      <c r="AH76" s="213"/>
      <c r="AI76" s="214"/>
      <c r="AJ76" s="209"/>
      <c r="AK76" s="209"/>
      <c r="AL76" s="230">
        <f ca="1">IF(EB.Anwendung&lt;&gt;"",IF(MONTH(Monat.Tag1)=12,0,IF(MONTH(Monat.Tag1)=1,February!Monat.NDgesternTag1,IF(MONTH(Monat.Tag1)=2,March!Monat.NDgesternTag1,IF(MONTH(Monat.Tag1)=3,April!Monat.NDgesternTag1,IF(MONTH(Monat.Tag1)=4,May!Monat.NDgesternTag1,IF(MONTH(Monat.Tag1)=5,June!Monat.NDgesternTag1,IF(MONTH(Monat.Tag1)=6,July!Monat.NDgesternTag1,IF(MONTH(Monat.Tag1)=7,August!Monat.NDgesternTag1,IF(MONTH(Monat.Tag1)=8,September!Monat.NDgesternTag1,IF(MONTH(Monat.Tag1)=9,October!Monat.NDgesternTag1,IF(MONTH(Monat.Tag1)=10,November!Monat.NDgesternTag1,IF(MONTH(Monat.Tag1)=11,December!Monat.NDgesternTag1,"")))))))))))),"")</f>
        <v>0</v>
      </c>
      <c r="AM76" s="208"/>
      <c r="AN76" s="209"/>
      <c r="AO76" s="209"/>
      <c r="AP76" s="119"/>
    </row>
    <row r="77" spans="1:42" s="38" customFormat="1" ht="16.5" hidden="1" customHeight="1" outlineLevel="1" x14ac:dyDescent="0.2">
      <c r="A77" s="215" t="s">
        <v>254</v>
      </c>
      <c r="B77" s="216">
        <f t="shared" ref="B77:AD77" ca="1" si="24">B75+IF(B$10=EOMONTH(B$10,0),$AL76,C76)</f>
        <v>0</v>
      </c>
      <c r="C77" s="216">
        <f t="shared" ca="1" si="24"/>
        <v>0</v>
      </c>
      <c r="D77" s="216">
        <f t="shared" ca="1" si="24"/>
        <v>0</v>
      </c>
      <c r="E77" s="216">
        <f t="shared" ca="1" si="24"/>
        <v>0</v>
      </c>
      <c r="F77" s="216">
        <f t="shared" ca="1" si="24"/>
        <v>0</v>
      </c>
      <c r="G77" s="216">
        <f t="shared" ca="1" si="24"/>
        <v>0</v>
      </c>
      <c r="H77" s="216">
        <f t="shared" ca="1" si="24"/>
        <v>0</v>
      </c>
      <c r="I77" s="216">
        <f t="shared" ca="1" si="24"/>
        <v>0</v>
      </c>
      <c r="J77" s="216">
        <f t="shared" ca="1" si="24"/>
        <v>0</v>
      </c>
      <c r="K77" s="216">
        <f t="shared" ca="1" si="24"/>
        <v>0</v>
      </c>
      <c r="L77" s="216">
        <f t="shared" ca="1" si="24"/>
        <v>0</v>
      </c>
      <c r="M77" s="216">
        <f t="shared" ca="1" si="24"/>
        <v>0</v>
      </c>
      <c r="N77" s="216">
        <f t="shared" ca="1" si="24"/>
        <v>0</v>
      </c>
      <c r="O77" s="216">
        <f t="shared" ca="1" si="24"/>
        <v>0</v>
      </c>
      <c r="P77" s="216">
        <f t="shared" ca="1" si="24"/>
        <v>0</v>
      </c>
      <c r="Q77" s="216">
        <f t="shared" ca="1" si="24"/>
        <v>0</v>
      </c>
      <c r="R77" s="216">
        <f t="shared" ca="1" si="24"/>
        <v>0</v>
      </c>
      <c r="S77" s="216">
        <f t="shared" ca="1" si="24"/>
        <v>0</v>
      </c>
      <c r="T77" s="216">
        <f t="shared" ca="1" si="24"/>
        <v>0</v>
      </c>
      <c r="U77" s="216">
        <f t="shared" ca="1" si="24"/>
        <v>0</v>
      </c>
      <c r="V77" s="216">
        <f t="shared" ca="1" si="24"/>
        <v>0</v>
      </c>
      <c r="W77" s="216">
        <f t="shared" ca="1" si="24"/>
        <v>0</v>
      </c>
      <c r="X77" s="216">
        <f t="shared" ca="1" si="24"/>
        <v>0</v>
      </c>
      <c r="Y77" s="216">
        <f t="shared" ca="1" si="24"/>
        <v>0</v>
      </c>
      <c r="Z77" s="216">
        <f t="shared" ca="1" si="24"/>
        <v>0</v>
      </c>
      <c r="AA77" s="216">
        <f t="shared" ca="1" si="24"/>
        <v>0</v>
      </c>
      <c r="AB77" s="216">
        <f t="shared" ca="1" si="24"/>
        <v>0</v>
      </c>
      <c r="AC77" s="216">
        <f t="shared" ca="1" si="24"/>
        <v>0</v>
      </c>
      <c r="AD77" s="216">
        <f t="shared" ca="1" si="24"/>
        <v>0</v>
      </c>
      <c r="AE77" s="216">
        <f ca="1">AE75+IF(AE$10=EOMONTH(AE$10,0),$AL76,#REF!)</f>
        <v>0</v>
      </c>
      <c r="AF77" s="217" t="str">
        <f>A77</f>
        <v>Total NS hours</v>
      </c>
      <c r="AG77" s="218"/>
      <c r="AH77" s="219">
        <f ca="1">SUM(B77:AE77)</f>
        <v>0</v>
      </c>
      <c r="AI77" s="214"/>
      <c r="AJ77" s="209"/>
      <c r="AK77" s="209"/>
      <c r="AL77" s="209"/>
      <c r="AM77" s="208"/>
      <c r="AN77" s="209"/>
      <c r="AO77" s="209"/>
      <c r="AP77" s="119"/>
    </row>
    <row r="78" spans="1:42" s="38" customFormat="1" ht="3.75" hidden="1" customHeight="1" collapsed="1" x14ac:dyDescent="0.2">
      <c r="A78" s="220"/>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05"/>
      <c r="AG78" s="233"/>
      <c r="AH78" s="222"/>
      <c r="AI78" s="214"/>
      <c r="AJ78" s="209"/>
      <c r="AK78" s="209"/>
      <c r="AL78" s="209"/>
      <c r="AM78" s="208"/>
      <c r="AN78" s="209"/>
      <c r="AO78" s="209"/>
      <c r="AP78" s="119"/>
    </row>
    <row r="79" spans="1:42" s="38" customFormat="1" ht="15" customHeight="1" outlineLevel="1" x14ac:dyDescent="0.2">
      <c r="A79" s="212" t="s">
        <v>200</v>
      </c>
      <c r="B79" s="280">
        <f t="shared" ref="B79:AE79" ca="1" si="25">IF(AND(T.50_Vetsuisse,B70&gt;24),ROUND(B73*T.50_VetsuisseZZSND*1440,0)/1440,
IF(AND(T.ServiceCenterIrchel,B69&gt;0,B77&gt;=ROUND(1/24*8*1440,0)/1440),ROUND(B77*T.ServiceCenterIrchelZZSND*1440,0)/1440,))</f>
        <v>0</v>
      </c>
      <c r="C79" s="280">
        <f t="shared" ca="1" si="25"/>
        <v>0</v>
      </c>
      <c r="D79" s="280">
        <f t="shared" ca="1" si="25"/>
        <v>0</v>
      </c>
      <c r="E79" s="280">
        <f t="shared" ca="1" si="25"/>
        <v>0</v>
      </c>
      <c r="F79" s="280">
        <f t="shared" ca="1" si="25"/>
        <v>0</v>
      </c>
      <c r="G79" s="280">
        <f t="shared" ca="1" si="25"/>
        <v>0</v>
      </c>
      <c r="H79" s="280">
        <f t="shared" ca="1" si="25"/>
        <v>0</v>
      </c>
      <c r="I79" s="280">
        <f t="shared" ca="1" si="25"/>
        <v>0</v>
      </c>
      <c r="J79" s="280">
        <f t="shared" ca="1" si="25"/>
        <v>0</v>
      </c>
      <c r="K79" s="280">
        <f t="shared" ca="1" si="25"/>
        <v>0</v>
      </c>
      <c r="L79" s="280">
        <f t="shared" ca="1" si="25"/>
        <v>0</v>
      </c>
      <c r="M79" s="280">
        <f t="shared" ca="1" si="25"/>
        <v>0</v>
      </c>
      <c r="N79" s="280">
        <f t="shared" ca="1" si="25"/>
        <v>0</v>
      </c>
      <c r="O79" s="280">
        <f t="shared" ca="1" si="25"/>
        <v>0</v>
      </c>
      <c r="P79" s="280">
        <f t="shared" ca="1" si="25"/>
        <v>0</v>
      </c>
      <c r="Q79" s="280">
        <f t="shared" ca="1" si="25"/>
        <v>0</v>
      </c>
      <c r="R79" s="280">
        <f t="shared" ca="1" si="25"/>
        <v>0</v>
      </c>
      <c r="S79" s="280">
        <f t="shared" ca="1" si="25"/>
        <v>0</v>
      </c>
      <c r="T79" s="280">
        <f t="shared" ca="1" si="25"/>
        <v>0</v>
      </c>
      <c r="U79" s="280">
        <f t="shared" ca="1" si="25"/>
        <v>0</v>
      </c>
      <c r="V79" s="280">
        <f t="shared" ca="1" si="25"/>
        <v>0</v>
      </c>
      <c r="W79" s="280">
        <f t="shared" ca="1" si="25"/>
        <v>0</v>
      </c>
      <c r="X79" s="280">
        <f t="shared" ca="1" si="25"/>
        <v>0</v>
      </c>
      <c r="Y79" s="280">
        <f t="shared" ca="1" si="25"/>
        <v>0</v>
      </c>
      <c r="Z79" s="280">
        <f t="shared" ca="1" si="25"/>
        <v>0</v>
      </c>
      <c r="AA79" s="280">
        <f t="shared" ca="1" si="25"/>
        <v>0</v>
      </c>
      <c r="AB79" s="280">
        <f t="shared" ca="1" si="25"/>
        <v>0</v>
      </c>
      <c r="AC79" s="280">
        <f t="shared" ca="1" si="25"/>
        <v>0</v>
      </c>
      <c r="AD79" s="280">
        <f t="shared" ca="1" si="25"/>
        <v>0</v>
      </c>
      <c r="AE79" s="280">
        <f t="shared" ca="1" si="25"/>
        <v>0</v>
      </c>
      <c r="AF79" s="205" t="str">
        <f>A79</f>
        <v>Time supplement night shift</v>
      </c>
      <c r="AG79" s="274"/>
      <c r="AH79" s="238">
        <f ca="1">SUM(B79:AE79)</f>
        <v>0</v>
      </c>
      <c r="AI79" s="261"/>
      <c r="AJ79" s="224"/>
      <c r="AK79" s="245">
        <f ca="1">IF(EB.Anwendung&lt;&gt;"",IF(MONTH(Monat.Tag1)=1,EB.ZZNd,IF(MONTH(Monat.Tag1)=2,January!Monat.ZZNdUe,IF(MONTH(Monat.Tag1)=3,February!Monat.ZZNdUe,IF(MONTH(Monat.Tag1)=4,March!Monat.ZZNdUe,IF(MONTH(Monat.Tag1)=5,April!Monat.ZZNdUe,IF(MONTH(Monat.Tag1)=6,May!Monat.ZZNdUe,IF(MONTH(Monat.Tag1)=7,June!Monat.ZZNdUe,IF(MONTH(Monat.Tag1)=8,July!Monat.ZZNdUe,IF(MONTH(Monat.Tag1)=9,August!Monat.ZZNdUe,IF(MONTH(Monat.Tag1)=10,September!Monat.ZZNdUe,IF(MONTH(Monat.Tag1)=11,October!Monat.ZZNdUe,IF(MONTH(Monat.Tag1)=12,November!Monat.ZZNdUe,"")))))))))))),"")</f>
        <v>0</v>
      </c>
      <c r="AL79" s="209"/>
      <c r="AM79" s="246">
        <f ca="1">AH79+AK79-AH71</f>
        <v>0</v>
      </c>
      <c r="AN79" s="246">
        <f ca="1">OFFSET(Jahr.ZZSNDSaldo,-13+MONTH(Monat.Tag1),0,1,1)</f>
        <v>0</v>
      </c>
      <c r="AO79" s="246">
        <f ca="1">Jahr.ZZSNDSaldo</f>
        <v>0</v>
      </c>
      <c r="AP79" s="119"/>
    </row>
    <row r="80" spans="1:42" s="38" customFormat="1" ht="15" customHeight="1" outlineLevel="1" x14ac:dyDescent="0.2">
      <c r="A80" s="212" t="s">
        <v>224</v>
      </c>
      <c r="B80" s="280" t="str">
        <f t="shared" ref="B80:AE80" si="26">IF(T.50_Vetsuisse,IF(OR(B$12=0,B$11=0,WEEKDAY(B$10,2)&gt;5),0,ROUND((MAX(0,T.Abendbis-MAX(B13,T.Abendab))-MAX(0,T.Abendbis-MAX(T.Abendab,B14))+(B13&gt;B14)*(1+T.Abendab-T.Abendbis)+MAX(0,T.Abendbis-MAX(B15,T.Abendab))-MAX(0,T.Abendbis-MAX(T.Abendab,B16))+(B15&gt;B16)*(1+T.Abendab-T.Abendbis)+MAX(0,T.Abendbis-MAX(B17,T.Abendab))-MAX(0,T.Abendbis-MAX(T.Abendab,B18))+(B17&gt;B18)*(1+T.Abendab-T.Abendbis)+MAX(0,T.Abendbis-MAX(B19,T.Abendab))-MAX(0,T.Abendbis-MAX(T.Abendab,B20))+(B19&gt;B20)*(1+T.Abendab-T.Abendbis)+MAX(0,T.Abendbis-MAX(B21,T.Abendab))-MAX(0,T.Abendbis-MAX(T.Abendab,B22))+(B21&gt;B22)*(1+T.Abendab-T.Abendbis))*1440,0)/1440),"")</f>
        <v/>
      </c>
      <c r="C80" s="280" t="str">
        <f t="shared" si="26"/>
        <v/>
      </c>
      <c r="D80" s="280" t="str">
        <f t="shared" si="26"/>
        <v/>
      </c>
      <c r="E80" s="280" t="str">
        <f t="shared" si="26"/>
        <v/>
      </c>
      <c r="F80" s="280" t="str">
        <f t="shared" si="26"/>
        <v/>
      </c>
      <c r="G80" s="280" t="str">
        <f t="shared" si="26"/>
        <v/>
      </c>
      <c r="H80" s="280" t="str">
        <f t="shared" si="26"/>
        <v/>
      </c>
      <c r="I80" s="280" t="str">
        <f t="shared" si="26"/>
        <v/>
      </c>
      <c r="J80" s="280" t="str">
        <f t="shared" si="26"/>
        <v/>
      </c>
      <c r="K80" s="280" t="str">
        <f t="shared" si="26"/>
        <v/>
      </c>
      <c r="L80" s="280" t="str">
        <f t="shared" si="26"/>
        <v/>
      </c>
      <c r="M80" s="280" t="str">
        <f t="shared" si="26"/>
        <v/>
      </c>
      <c r="N80" s="280" t="str">
        <f t="shared" si="26"/>
        <v/>
      </c>
      <c r="O80" s="280" t="str">
        <f t="shared" si="26"/>
        <v/>
      </c>
      <c r="P80" s="280" t="str">
        <f t="shared" si="26"/>
        <v/>
      </c>
      <c r="Q80" s="280" t="str">
        <f t="shared" si="26"/>
        <v/>
      </c>
      <c r="R80" s="280" t="str">
        <f t="shared" si="26"/>
        <v/>
      </c>
      <c r="S80" s="280" t="str">
        <f t="shared" si="26"/>
        <v/>
      </c>
      <c r="T80" s="280" t="str">
        <f t="shared" si="26"/>
        <v/>
      </c>
      <c r="U80" s="280" t="str">
        <f t="shared" si="26"/>
        <v/>
      </c>
      <c r="V80" s="280" t="str">
        <f t="shared" si="26"/>
        <v/>
      </c>
      <c r="W80" s="280" t="str">
        <f t="shared" si="26"/>
        <v/>
      </c>
      <c r="X80" s="280" t="str">
        <f t="shared" si="26"/>
        <v/>
      </c>
      <c r="Y80" s="280" t="str">
        <f t="shared" si="26"/>
        <v/>
      </c>
      <c r="Z80" s="280" t="str">
        <f t="shared" si="26"/>
        <v/>
      </c>
      <c r="AA80" s="280" t="str">
        <f t="shared" si="26"/>
        <v/>
      </c>
      <c r="AB80" s="280" t="str">
        <f t="shared" si="26"/>
        <v/>
      </c>
      <c r="AC80" s="280" t="str">
        <f t="shared" si="26"/>
        <v/>
      </c>
      <c r="AD80" s="280" t="str">
        <f t="shared" si="26"/>
        <v/>
      </c>
      <c r="AE80" s="280" t="str">
        <f t="shared" si="26"/>
        <v/>
      </c>
      <c r="AF80" s="205" t="str">
        <f>A80</f>
        <v>Evening work</v>
      </c>
      <c r="AG80" s="274"/>
      <c r="AH80" s="238">
        <f>SUM(B80:AE80)</f>
        <v>0</v>
      </c>
      <c r="AI80" s="261"/>
      <c r="AJ80" s="224"/>
      <c r="AK80" s="245">
        <f ca="1">IF(EB.Anwendung&lt;&gt;"",IF(MONTH(Monat.Tag1)=1,0,IF(MONTH(Monat.Tag1)=2,January!Monat.AAUeVM,IF(MONTH(Monat.Tag1)=3,February!Monat.AAUeVM,IF(MONTH(Monat.Tag1)=4,March!Monat.AAUeVM,IF(MONTH(Monat.Tag1)=5,April!Monat.AAUeVM,IF(MONTH(Monat.Tag1)=6,May!Monat.AAUeVM,IF(MONTH(Monat.Tag1)=7,June!Monat.AAUeVM,IF(MONTH(Monat.Tag1)=8,July!Monat.AAUeVM,IF(MONTH(Monat.Tag1)=9,August!Monat.AAUeVM,IF(MONTH(Monat.Tag1)=10,September!Monat.AAUeVM,IF(MONTH(Monat.Tag1)=11,October!Monat.AAUeVM,IF(MONTH(Monat.Tag1)=12,November!Monat.AAUeVM,"")))))))))))),"")</f>
        <v>0</v>
      </c>
      <c r="AL80" s="209"/>
      <c r="AM80" s="246">
        <f ca="1">AH80+AK80</f>
        <v>0</v>
      </c>
      <c r="AN80" s="208"/>
      <c r="AO80" s="208"/>
      <c r="AP80" s="119"/>
    </row>
    <row r="81" spans="1:42" s="38" customFormat="1" ht="15" customHeight="1" outlineLevel="1" x14ac:dyDescent="0.2">
      <c r="A81" s="212" t="s">
        <v>89</v>
      </c>
      <c r="B81" s="280">
        <f t="shared" ref="B81:AE81" ca="1" si="27">IF(EB.Wochenarbeitszeit=50/24,"",IF(B$12=0,0,IF(OR(WEEKDAY(B$10,2)&gt;5,B$11=0),IF(NOT(B$34=INDEX(T.Pikett.Bereich,1)),1,0),IF(WEEKDAY(B$10,2)&lt;6,IF(AND(OR(B$34=INDEX(T.Pikett.Bereich,2),B$34=INDEX(T.Pikett.Bereich,3)),B$11=1),8/24,0))+IF(WEEKDAY(B$10,2)&lt;6,IF(AND(OR(B$34=INDEX(T.Pikett.Bereich,2),B$34=INDEX(T.Pikett.Bereich,3)),B$11=6/8.4),10/24,0))
+IF(WEEKDAY(B$10,2)&lt;6,IF(AND(OR(B$34=INDEX(T.Pikett.Bereich,2),B$34=INDEX(T.Pikett.Bereich,3)),B$11=0.5),0.5,0))
+IF(AND(B$34=INDEX(T.Pikett.Bereich,4),B$11=6/8.4),0.75,0)+IF(AND(B$34=INDEX(T.Pikett.Bereich,4),B$11=1),16/24,0)
+IF(AND(B$34=INDEX(T.Pikett.Bereich,4),B$11=0.5),20/24,0))))</f>
        <v>0</v>
      </c>
      <c r="C81" s="280">
        <f t="shared" ca="1" si="27"/>
        <v>0</v>
      </c>
      <c r="D81" s="280">
        <f t="shared" ca="1" si="27"/>
        <v>0</v>
      </c>
      <c r="E81" s="280">
        <f t="shared" ca="1" si="27"/>
        <v>0</v>
      </c>
      <c r="F81" s="280">
        <f t="shared" ca="1" si="27"/>
        <v>0</v>
      </c>
      <c r="G81" s="280">
        <f t="shared" ca="1" si="27"/>
        <v>0</v>
      </c>
      <c r="H81" s="280">
        <f t="shared" ca="1" si="27"/>
        <v>0</v>
      </c>
      <c r="I81" s="280">
        <f t="shared" ca="1" si="27"/>
        <v>0</v>
      </c>
      <c r="J81" s="280">
        <f t="shared" ca="1" si="27"/>
        <v>0</v>
      </c>
      <c r="K81" s="280">
        <f t="shared" ca="1" si="27"/>
        <v>0</v>
      </c>
      <c r="L81" s="280">
        <f t="shared" ca="1" si="27"/>
        <v>0</v>
      </c>
      <c r="M81" s="280">
        <f t="shared" ca="1" si="27"/>
        <v>0</v>
      </c>
      <c r="N81" s="280">
        <f t="shared" ca="1" si="27"/>
        <v>0</v>
      </c>
      <c r="O81" s="280">
        <f t="shared" ca="1" si="27"/>
        <v>0</v>
      </c>
      <c r="P81" s="280">
        <f t="shared" ca="1" si="27"/>
        <v>0</v>
      </c>
      <c r="Q81" s="280">
        <f t="shared" ca="1" si="27"/>
        <v>0</v>
      </c>
      <c r="R81" s="280">
        <f t="shared" ca="1" si="27"/>
        <v>0</v>
      </c>
      <c r="S81" s="280">
        <f t="shared" ca="1" si="27"/>
        <v>0</v>
      </c>
      <c r="T81" s="280">
        <f t="shared" ca="1" si="27"/>
        <v>0</v>
      </c>
      <c r="U81" s="280">
        <f t="shared" ca="1" si="27"/>
        <v>0</v>
      </c>
      <c r="V81" s="280">
        <f t="shared" ca="1" si="27"/>
        <v>0</v>
      </c>
      <c r="W81" s="280">
        <f t="shared" ca="1" si="27"/>
        <v>0</v>
      </c>
      <c r="X81" s="280">
        <f t="shared" ca="1" si="27"/>
        <v>0</v>
      </c>
      <c r="Y81" s="280">
        <f t="shared" ca="1" si="27"/>
        <v>0</v>
      </c>
      <c r="Z81" s="280">
        <f t="shared" ca="1" si="27"/>
        <v>0</v>
      </c>
      <c r="AA81" s="280">
        <f t="shared" ca="1" si="27"/>
        <v>0</v>
      </c>
      <c r="AB81" s="280">
        <f t="shared" ca="1" si="27"/>
        <v>0</v>
      </c>
      <c r="AC81" s="280">
        <f t="shared" ca="1" si="27"/>
        <v>0</v>
      </c>
      <c r="AD81" s="280">
        <f t="shared" ca="1" si="27"/>
        <v>0</v>
      </c>
      <c r="AE81" s="280">
        <f t="shared" ca="1" si="27"/>
        <v>0</v>
      </c>
      <c r="AF81" s="205" t="str">
        <f>A81</f>
        <v>On-call duty</v>
      </c>
      <c r="AG81" s="274"/>
      <c r="AH81" s="238">
        <f ca="1">SUM(B81:AE81)</f>
        <v>0</v>
      </c>
      <c r="AI81" s="261"/>
      <c r="AJ81" s="224"/>
      <c r="AK81" s="245">
        <f ca="1">IF(EB.Anwendung&lt;&gt;"",IF(MONTH(Monat.Tag1)=1,0,IF(MONTH(Monat.Tag1)=2,January!Monat.BDUeVM,IF(MONTH(Monat.Tag1)=3,February!Monat.BDUeVM,IF(MONTH(Monat.Tag1)=4,March!Monat.BDUeVM,IF(MONTH(Monat.Tag1)=5,April!Monat.BDUeVM,IF(MONTH(Monat.Tag1)=6,May!Monat.BDUeVM,IF(MONTH(Monat.Tag1)=7,June!Monat.BDUeVM,IF(MONTH(Monat.Tag1)=8,July!Monat.BDUeVM,IF(MONTH(Monat.Tag1)=9,August!Monat.BDUeVM,IF(MONTH(Monat.Tag1)=10,September!Monat.BDUeVM,IF(MONTH(Monat.Tag1)=11,October!Monat.BDUeVM,IF(MONTH(Monat.Tag1)=12,November!Monat.BDUeVM,"")))))))))))),"")</f>
        <v>0</v>
      </c>
      <c r="AL81" s="209"/>
      <c r="AM81" s="246">
        <f ca="1">AH81+AK81</f>
        <v>0</v>
      </c>
      <c r="AN81" s="208"/>
      <c r="AO81" s="208"/>
      <c r="AP81" s="119"/>
    </row>
    <row r="82" spans="1:42" s="38" customFormat="1" ht="15" customHeight="1" outlineLevel="1" x14ac:dyDescent="0.2">
      <c r="A82" s="212" t="s">
        <v>90</v>
      </c>
      <c r="B82" s="280" t="str">
        <f t="shared" ref="B82:AE82" ca="1" si="28">IF(B$12=0,"",IF(OR(WEEKDAY(B$10,2)&gt;5,B$11=0),
IF(T.50_NoVetsuisse,B45,
IF(T.50_Vetsuisse,IF(B23-B73=0,"",B23-B73),
IF(T.ServiceCenterIrchel,B23,
B60))),))</f>
        <v/>
      </c>
      <c r="C82" s="280">
        <f t="shared" ca="1" si="28"/>
        <v>0</v>
      </c>
      <c r="D82" s="281">
        <f t="shared" ca="1" si="28"/>
        <v>0</v>
      </c>
      <c r="E82" s="280">
        <f t="shared" ca="1" si="28"/>
        <v>0</v>
      </c>
      <c r="F82" s="281">
        <f t="shared" ca="1" si="28"/>
        <v>0</v>
      </c>
      <c r="G82" s="281" t="str">
        <f t="shared" ca="1" si="28"/>
        <v/>
      </c>
      <c r="H82" s="281" t="str">
        <f t="shared" ca="1" si="28"/>
        <v/>
      </c>
      <c r="I82" s="281">
        <f t="shared" ca="1" si="28"/>
        <v>0</v>
      </c>
      <c r="J82" s="280">
        <f t="shared" ca="1" si="28"/>
        <v>0</v>
      </c>
      <c r="K82" s="281">
        <f t="shared" ca="1" si="28"/>
        <v>0</v>
      </c>
      <c r="L82" s="280">
        <f t="shared" ca="1" si="28"/>
        <v>0</v>
      </c>
      <c r="M82" s="281">
        <f t="shared" ca="1" si="28"/>
        <v>0</v>
      </c>
      <c r="N82" s="281" t="str">
        <f t="shared" ca="1" si="28"/>
        <v/>
      </c>
      <c r="O82" s="281" t="str">
        <f t="shared" ca="1" si="28"/>
        <v/>
      </c>
      <c r="P82" s="281">
        <f t="shared" ca="1" si="28"/>
        <v>0</v>
      </c>
      <c r="Q82" s="280">
        <f t="shared" ca="1" si="28"/>
        <v>0</v>
      </c>
      <c r="R82" s="281">
        <f t="shared" ca="1" si="28"/>
        <v>0</v>
      </c>
      <c r="S82" s="280">
        <f t="shared" ca="1" si="28"/>
        <v>0</v>
      </c>
      <c r="T82" s="280">
        <f t="shared" ca="1" si="28"/>
        <v>0</v>
      </c>
      <c r="U82" s="281" t="str">
        <f t="shared" ca="1" si="28"/>
        <v/>
      </c>
      <c r="V82" s="281" t="str">
        <f t="shared" ca="1" si="28"/>
        <v/>
      </c>
      <c r="W82" s="281">
        <f t="shared" ca="1" si="28"/>
        <v>0</v>
      </c>
      <c r="X82" s="280">
        <f t="shared" ca="1" si="28"/>
        <v>0</v>
      </c>
      <c r="Y82" s="281">
        <f t="shared" ca="1" si="28"/>
        <v>0</v>
      </c>
      <c r="Z82" s="282">
        <f t="shared" ca="1" si="28"/>
        <v>0</v>
      </c>
      <c r="AA82" s="281">
        <f t="shared" ca="1" si="28"/>
        <v>0</v>
      </c>
      <c r="AB82" s="281" t="str">
        <f t="shared" ca="1" si="28"/>
        <v/>
      </c>
      <c r="AC82" s="281" t="str">
        <f t="shared" ca="1" si="28"/>
        <v/>
      </c>
      <c r="AD82" s="281">
        <f t="shared" ca="1" si="28"/>
        <v>0</v>
      </c>
      <c r="AE82" s="280">
        <f t="shared" ca="1" si="28"/>
        <v>0</v>
      </c>
      <c r="AF82" s="205" t="str">
        <f>A82</f>
        <v>Saturday/Sunday shift</v>
      </c>
      <c r="AG82" s="228"/>
      <c r="AH82" s="238">
        <f ca="1">SUM(B82:AE82)</f>
        <v>0</v>
      </c>
      <c r="AI82" s="229">
        <f ca="1">IFERROR(SUMPRODUCT((B82:AE82&gt;0)*(B82:AE82&lt;&gt;"")),0)</f>
        <v>0</v>
      </c>
      <c r="AJ82" s="224"/>
      <c r="AK82" s="245">
        <f ca="1">IF(EB.Anwendung&lt;&gt;"",IF(MONTH(Monat.Tag1)=1,0,IF(MONTH(Monat.Tag1)=2,January!Monat.SDUeVM,IF(MONTH(Monat.Tag1)=3,February!Monat.SDUeVM,IF(MONTH(Monat.Tag1)=4,March!Monat.SDUeVM,IF(MONTH(Monat.Tag1)=5,April!Monat.SDUeVM,IF(MONTH(Monat.Tag1)=6,May!Monat.SDUeVM,IF(MONTH(Monat.Tag1)=7,June!Monat.SDUeVM,IF(MONTH(Monat.Tag1)=8,July!Monat.SDUeVM,IF(MONTH(Monat.Tag1)=9,August!Monat.SDUeVM,IF(MONTH(Monat.Tag1)=10,September!Monat.SDUeVM,IF(MONTH(Monat.Tag1)=11,October!Monat.SDUeVM,IF(MONTH(Monat.Tag1)=12,November!Monat.SDUeVM,"")))))))))))),"")</f>
        <v>0</v>
      </c>
      <c r="AL82" s="209"/>
      <c r="AM82" s="246">
        <f ca="1">AH82+AK82</f>
        <v>0</v>
      </c>
      <c r="AN82" s="208"/>
      <c r="AO82" s="208"/>
      <c r="AP82" s="119"/>
    </row>
    <row r="83" spans="1:42" s="38" customFormat="1" ht="11.25" customHeight="1" outlineLevel="1" x14ac:dyDescent="0.2">
      <c r="A83" s="220"/>
      <c r="B83" s="226"/>
      <c r="C83" s="226"/>
      <c r="D83" s="226"/>
      <c r="E83" s="226"/>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05"/>
      <c r="AG83" s="228"/>
      <c r="AH83" s="224"/>
      <c r="AI83" s="278"/>
      <c r="AJ83" s="262"/>
      <c r="AK83" s="262"/>
      <c r="AL83" s="209"/>
      <c r="AM83" s="279"/>
      <c r="AN83" s="283"/>
      <c r="AO83" s="283"/>
      <c r="AP83" s="119"/>
    </row>
    <row r="84" spans="1:42" s="38" customFormat="1" ht="15" customHeight="1" x14ac:dyDescent="0.2">
      <c r="A84" s="212" t="s">
        <v>80</v>
      </c>
      <c r="B84" s="40"/>
      <c r="C84" s="40"/>
      <c r="D84" s="40"/>
      <c r="E84" s="40"/>
      <c r="F84" s="40"/>
      <c r="G84" s="40"/>
      <c r="H84" s="40"/>
      <c r="I84" s="40"/>
      <c r="J84" s="40"/>
      <c r="K84" s="40"/>
      <c r="L84" s="40"/>
      <c r="M84" s="40"/>
      <c r="N84" s="40"/>
      <c r="O84" s="40"/>
      <c r="P84" s="40"/>
      <c r="Q84" s="40"/>
      <c r="R84" s="40"/>
      <c r="S84" s="40"/>
      <c r="T84" s="40"/>
      <c r="U84" s="40"/>
      <c r="V84" s="40"/>
      <c r="W84" s="40"/>
      <c r="X84" s="40"/>
      <c r="Y84" s="40"/>
      <c r="Z84" s="47"/>
      <c r="AA84" s="40"/>
      <c r="AB84" s="40"/>
      <c r="AC84" s="40"/>
      <c r="AD84" s="40"/>
      <c r="AE84" s="40"/>
      <c r="AF84" s="205" t="str">
        <f>A84 &amp; IFERROR(IF(AND(MONTH(Monat.Tag1)=6,EB.Jahr&gt;2020),IF(SUM(Jahresabrechnung!AC15:AC20)&lt;EB.FerienBer,IF(EB.Sprache="EN"," (Balance PY "," (Saldo VJ ") &amp; " &gt; 0!)",""),""),"")</f>
        <v>Vacation</v>
      </c>
      <c r="AG84" s="218"/>
      <c r="AH84" s="238">
        <f>SUM(B84:AE84)</f>
        <v>0</v>
      </c>
      <c r="AI84" s="261"/>
      <c r="AJ84" s="245">
        <f ca="1">OFFSET(EB.MFAStd.Knoten,MONTH(Monat.Tag1),0,1,1)</f>
        <v>0</v>
      </c>
      <c r="AK84" s="245">
        <f ca="1">IF(EB.Anwendung&lt;&gt;"",IF(MONTH(Monat.Tag1)=1,EB.FerienBer,IF(MONTH(Monat.Tag1)=2,January!Monat.FerienUeVM,IF(MONTH(Monat.Tag1)=3,February!Monat.FerienUeVM,IF(MONTH(Monat.Tag1)=4,March!Monat.FerienUeVM,IF(MONTH(Monat.Tag1)=5,April!Monat.FerienUeVM,IF(MONTH(Monat.Tag1)=6,May!Monat.FerienUeVM,IF(MONTH(Monat.Tag1)=7,June!Monat.FerienUeVM,IF(MONTH(Monat.Tag1)=8,July!Monat.FerienUeVM,IF(MONTH(Monat.Tag1)=9,August!Monat.FerienUeVM,IF(MONTH(Monat.Tag1)=10,September!Monat.FerienUeVM,IF(MONTH(Monat.Tag1)=11,October!Monat.FerienUeVM,IF(MONTH(Monat.Tag1)=12,November!Monat.FerienUeVM,"")))))))))))),"")</f>
        <v>0</v>
      </c>
      <c r="AL84" s="209"/>
      <c r="AM84" s="246">
        <f ca="1">ROUND(IF(AG85="+",(AJ84+AK84-Monat.Ferien.Total+AH85),(AJ84+AK84-Monat.Ferien.Total-AH85))*1440,0)/1440</f>
        <v>0</v>
      </c>
      <c r="AN84" s="246">
        <f ca="1">SUM(Jahresabrechnung!AC12:AC13)-SUM(OFFSET(Jahresabrechnung!AC15,0,0,MONTH(Monat.Tag1),1))</f>
        <v>0</v>
      </c>
      <c r="AO84" s="246">
        <f ca="1">J.FerienUE.Total</f>
        <v>0</v>
      </c>
      <c r="AP84" s="119"/>
    </row>
    <row r="85" spans="1:42" s="38" customFormat="1" ht="15" customHeight="1" x14ac:dyDescent="0.2">
      <c r="A85" s="220"/>
      <c r="B85" s="437">
        <f t="shared" ref="B85:AE85" ca="1" si="29">IF(DAY(B$10)=1,Monat.Ferien.JS+Monat.Ferien.Total-B84,A85-B84)</f>
        <v>0</v>
      </c>
      <c r="C85" s="437">
        <f t="shared" ca="1" si="29"/>
        <v>0</v>
      </c>
      <c r="D85" s="437">
        <f t="shared" ca="1" si="29"/>
        <v>0</v>
      </c>
      <c r="E85" s="437">
        <f t="shared" ca="1" si="29"/>
        <v>0</v>
      </c>
      <c r="F85" s="437">
        <f t="shared" ca="1" si="29"/>
        <v>0</v>
      </c>
      <c r="G85" s="437">
        <f t="shared" ca="1" si="29"/>
        <v>0</v>
      </c>
      <c r="H85" s="437">
        <f t="shared" ca="1" si="29"/>
        <v>0</v>
      </c>
      <c r="I85" s="437">
        <f t="shared" ca="1" si="29"/>
        <v>0</v>
      </c>
      <c r="J85" s="437">
        <f t="shared" ca="1" si="29"/>
        <v>0</v>
      </c>
      <c r="K85" s="437">
        <f t="shared" ca="1" si="29"/>
        <v>0</v>
      </c>
      <c r="L85" s="437">
        <f t="shared" ca="1" si="29"/>
        <v>0</v>
      </c>
      <c r="M85" s="437">
        <f t="shared" ca="1" si="29"/>
        <v>0</v>
      </c>
      <c r="N85" s="437">
        <f t="shared" ca="1" si="29"/>
        <v>0</v>
      </c>
      <c r="O85" s="437">
        <f t="shared" ca="1" si="29"/>
        <v>0</v>
      </c>
      <c r="P85" s="437">
        <f t="shared" ca="1" si="29"/>
        <v>0</v>
      </c>
      <c r="Q85" s="437">
        <f t="shared" ca="1" si="29"/>
        <v>0</v>
      </c>
      <c r="R85" s="437">
        <f t="shared" ca="1" si="29"/>
        <v>0</v>
      </c>
      <c r="S85" s="437">
        <f t="shared" ca="1" si="29"/>
        <v>0</v>
      </c>
      <c r="T85" s="437">
        <f t="shared" ca="1" si="29"/>
        <v>0</v>
      </c>
      <c r="U85" s="437">
        <f t="shared" ca="1" si="29"/>
        <v>0</v>
      </c>
      <c r="V85" s="437">
        <f t="shared" ca="1" si="29"/>
        <v>0</v>
      </c>
      <c r="W85" s="437">
        <f t="shared" ca="1" si="29"/>
        <v>0</v>
      </c>
      <c r="X85" s="437">
        <f t="shared" ca="1" si="29"/>
        <v>0</v>
      </c>
      <c r="Y85" s="437">
        <f t="shared" ca="1" si="29"/>
        <v>0</v>
      </c>
      <c r="Z85" s="437">
        <f t="shared" ca="1" si="29"/>
        <v>0</v>
      </c>
      <c r="AA85" s="437">
        <f t="shared" ca="1" si="29"/>
        <v>0</v>
      </c>
      <c r="AB85" s="437">
        <f t="shared" ca="1" si="29"/>
        <v>0</v>
      </c>
      <c r="AC85" s="437">
        <f t="shared" ca="1" si="29"/>
        <v>0</v>
      </c>
      <c r="AD85" s="437">
        <f t="shared" ca="1" si="29"/>
        <v>0</v>
      </c>
      <c r="AE85" s="437">
        <f t="shared" ca="1" si="29"/>
        <v>0</v>
      </c>
      <c r="AF85" s="212" t="s">
        <v>92</v>
      </c>
      <c r="AG85" s="45" t="s">
        <v>2</v>
      </c>
      <c r="AH85" s="48"/>
      <c r="AI85" s="270"/>
      <c r="AJ85" s="209"/>
      <c r="AK85" s="209"/>
      <c r="AL85" s="209"/>
      <c r="AM85" s="208"/>
      <c r="AN85" s="284"/>
      <c r="AO85" s="284"/>
      <c r="AP85" s="119"/>
    </row>
    <row r="86" spans="1:42" s="38" customFormat="1" ht="15" customHeight="1" x14ac:dyDescent="0.2">
      <c r="A86" s="212" t="s">
        <v>81</v>
      </c>
      <c r="B86" s="40"/>
      <c r="C86" s="40"/>
      <c r="D86" s="40"/>
      <c r="E86" s="27"/>
      <c r="F86" s="40"/>
      <c r="G86" s="40"/>
      <c r="H86" s="40"/>
      <c r="I86" s="40"/>
      <c r="J86" s="27"/>
      <c r="K86" s="40"/>
      <c r="L86" s="27"/>
      <c r="M86" s="40"/>
      <c r="N86" s="40"/>
      <c r="O86" s="40"/>
      <c r="P86" s="40"/>
      <c r="Q86" s="27"/>
      <c r="R86" s="40"/>
      <c r="S86" s="27"/>
      <c r="T86" s="27"/>
      <c r="U86" s="40"/>
      <c r="V86" s="40"/>
      <c r="W86" s="40"/>
      <c r="X86" s="27"/>
      <c r="Y86" s="40"/>
      <c r="Z86" s="39"/>
      <c r="AA86" s="40"/>
      <c r="AB86" s="40"/>
      <c r="AC86" s="40"/>
      <c r="AD86" s="40"/>
      <c r="AE86" s="27"/>
      <c r="AF86" s="205" t="str">
        <f t="shared" ref="AF86:AF95" si="30">A86</f>
        <v>Consultation</v>
      </c>
      <c r="AG86" s="218"/>
      <c r="AH86" s="238">
        <f t="shared" ref="AH86:AH95" si="31">SUM(B86:AE86)</f>
        <v>0</v>
      </c>
      <c r="AI86" s="261"/>
      <c r="AJ86" s="262"/>
      <c r="AK86" s="245">
        <f ca="1">IF(EB.Anwendung&lt;&gt;"",IF(MONTH(Monat.Tag1)=1,0,IF(MONTH(Monat.Tag1)=2,January!Monat.ArztUeVM,IF(MONTH(Monat.Tag1)=3,February!Monat.ArztUeVM,IF(MONTH(Monat.Tag1)=4,March!Monat.ArztUeVM,IF(MONTH(Monat.Tag1)=5,April!Monat.ArztUeVM,IF(MONTH(Monat.Tag1)=6,May!Monat.ArztUeVM,IF(MONTH(Monat.Tag1)=7,June!Monat.ArztUeVM,IF(MONTH(Monat.Tag1)=8,July!Monat.ArztUeVM,IF(MONTH(Monat.Tag1)=9,August!Monat.ArztUeVM,IF(MONTH(Monat.Tag1)=10,September!Monat.ArztUeVM,IF(MONTH(Monat.Tag1)=11,October!Monat.ArztUeVM,IF(MONTH(Monat.Tag1)=12,November!Monat.ArztUeVM,"")))))))))))),"")</f>
        <v>0</v>
      </c>
      <c r="AL86" s="209"/>
      <c r="AM86" s="246">
        <f t="shared" ref="AM86:AM94" ca="1" si="32">AH86+AK86</f>
        <v>0</v>
      </c>
      <c r="AN86" s="208"/>
      <c r="AO86" s="208"/>
      <c r="AP86" s="119"/>
    </row>
    <row r="87" spans="1:42" s="38" customFormat="1" ht="15" customHeight="1" x14ac:dyDescent="0.2">
      <c r="A87" s="212" t="s">
        <v>82</v>
      </c>
      <c r="B87" s="40"/>
      <c r="C87" s="40"/>
      <c r="D87" s="40"/>
      <c r="E87" s="27"/>
      <c r="F87" s="40"/>
      <c r="G87" s="40"/>
      <c r="H87" s="40"/>
      <c r="I87" s="40"/>
      <c r="J87" s="27"/>
      <c r="K87" s="40"/>
      <c r="L87" s="27"/>
      <c r="M87" s="40"/>
      <c r="N87" s="40"/>
      <c r="O87" s="40"/>
      <c r="P87" s="40"/>
      <c r="Q87" s="27"/>
      <c r="R87" s="40"/>
      <c r="S87" s="27"/>
      <c r="T87" s="27"/>
      <c r="U87" s="40"/>
      <c r="V87" s="40"/>
      <c r="W87" s="40"/>
      <c r="X87" s="27"/>
      <c r="Y87" s="40"/>
      <c r="Z87" s="39"/>
      <c r="AA87" s="40"/>
      <c r="AB87" s="40"/>
      <c r="AC87" s="40"/>
      <c r="AD87" s="40"/>
      <c r="AE87" s="27"/>
      <c r="AF87" s="205" t="str">
        <f t="shared" si="30"/>
        <v>Illness</v>
      </c>
      <c r="AG87" s="218"/>
      <c r="AH87" s="238">
        <f t="shared" si="31"/>
        <v>0</v>
      </c>
      <c r="AI87" s="261"/>
      <c r="AJ87" s="262"/>
      <c r="AK87" s="245">
        <f ca="1">IF(EB.Anwendung&lt;&gt;"",IF(MONTH(Monat.Tag1)=1,0,IF(MONTH(Monat.Tag1)=2,January!Monat.KrankUeVM,IF(MONTH(Monat.Tag1)=3,February!Monat.KrankUeVM,IF(MONTH(Monat.Tag1)=4,March!Monat.KrankUeVM,IF(MONTH(Monat.Tag1)=5,April!Monat.KrankUeVM,IF(MONTH(Monat.Tag1)=6,May!Monat.KrankUeVM,IF(MONTH(Monat.Tag1)=7,June!Monat.KrankUeVM,IF(MONTH(Monat.Tag1)=8,July!Monat.KrankUeVM,IF(MONTH(Monat.Tag1)=9,August!Monat.KrankUeVM,IF(MONTH(Monat.Tag1)=10,September!Monat.KrankUeVM,IF(MONTH(Monat.Tag1)=11,October!Monat.KrankUeVM,IF(MONTH(Monat.Tag1)=12,November!Monat.KrankUeVM,"")))))))))))),"")</f>
        <v>0</v>
      </c>
      <c r="AL87" s="209"/>
      <c r="AM87" s="246">
        <f t="shared" ca="1" si="32"/>
        <v>0</v>
      </c>
      <c r="AN87" s="208"/>
      <c r="AO87" s="208"/>
      <c r="AP87" s="119"/>
    </row>
    <row r="88" spans="1:42" s="38" customFormat="1" ht="15" customHeight="1" x14ac:dyDescent="0.2">
      <c r="A88" s="212" t="s">
        <v>83</v>
      </c>
      <c r="B88" s="40"/>
      <c r="C88" s="40"/>
      <c r="D88" s="40"/>
      <c r="E88" s="27"/>
      <c r="F88" s="40"/>
      <c r="G88" s="40"/>
      <c r="H88" s="40"/>
      <c r="I88" s="40"/>
      <c r="J88" s="27"/>
      <c r="K88" s="40"/>
      <c r="L88" s="27"/>
      <c r="M88" s="40"/>
      <c r="N88" s="40"/>
      <c r="O88" s="40"/>
      <c r="P88" s="40"/>
      <c r="Q88" s="27"/>
      <c r="R88" s="40"/>
      <c r="S88" s="27"/>
      <c r="T88" s="27"/>
      <c r="U88" s="40"/>
      <c r="V88" s="40"/>
      <c r="W88" s="40"/>
      <c r="X88" s="27"/>
      <c r="Y88" s="40"/>
      <c r="Z88" s="39"/>
      <c r="AA88" s="40"/>
      <c r="AB88" s="40"/>
      <c r="AC88" s="40"/>
      <c r="AD88" s="40"/>
      <c r="AE88" s="27"/>
      <c r="AF88" s="205" t="str">
        <f t="shared" si="30"/>
        <v>Work-related accident</v>
      </c>
      <c r="AG88" s="218"/>
      <c r="AH88" s="238">
        <f t="shared" si="31"/>
        <v>0</v>
      </c>
      <c r="AI88" s="261"/>
      <c r="AJ88" s="262"/>
      <c r="AK88" s="245">
        <f ca="1">IF(EB.Anwendung&lt;&gt;"",IF(MONTH(Monat.Tag1)=1,0,IF(MONTH(Monat.Tag1)=2,January!Monat.BUUeVM,IF(MONTH(Monat.Tag1)=3,February!Monat.BUUeVM,IF(MONTH(Monat.Tag1)=4,March!Monat.BUUeVM,IF(MONTH(Monat.Tag1)=5,April!Monat.BUUeVM,IF(MONTH(Monat.Tag1)=6,May!Monat.BUUeVM,IF(MONTH(Monat.Tag1)=7,June!Monat.BUUeVM,IF(MONTH(Monat.Tag1)=8,July!Monat.BUUeVM,IF(MONTH(Monat.Tag1)=9,August!Monat.BUUeVM,IF(MONTH(Monat.Tag1)=10,September!Monat.BUUeVM,IF(MONTH(Monat.Tag1)=11,October!Monat.BUUeVM,IF(MONTH(Monat.Tag1)=12,November!Monat.BUUeVM,"")))))))))))),"")</f>
        <v>0</v>
      </c>
      <c r="AL88" s="209"/>
      <c r="AM88" s="246">
        <f t="shared" ca="1" si="32"/>
        <v>0</v>
      </c>
      <c r="AN88" s="208"/>
      <c r="AO88" s="208"/>
      <c r="AP88" s="119"/>
    </row>
    <row r="89" spans="1:42" s="38" customFormat="1" ht="15" customHeight="1" x14ac:dyDescent="0.2">
      <c r="A89" s="212" t="s">
        <v>240</v>
      </c>
      <c r="B89" s="40"/>
      <c r="C89" s="40"/>
      <c r="D89" s="40"/>
      <c r="E89" s="27"/>
      <c r="F89" s="40"/>
      <c r="G89" s="40"/>
      <c r="H89" s="40"/>
      <c r="I89" s="40"/>
      <c r="J89" s="27"/>
      <c r="K89" s="40"/>
      <c r="L89" s="27"/>
      <c r="M89" s="40"/>
      <c r="N89" s="40"/>
      <c r="O89" s="40"/>
      <c r="P89" s="40"/>
      <c r="Q89" s="27"/>
      <c r="R89" s="40"/>
      <c r="S89" s="27"/>
      <c r="T89" s="27"/>
      <c r="U89" s="40"/>
      <c r="V89" s="40"/>
      <c r="W89" s="40"/>
      <c r="X89" s="27"/>
      <c r="Y89" s="40"/>
      <c r="Z89" s="39"/>
      <c r="AA89" s="40"/>
      <c r="AB89" s="40"/>
      <c r="AC89" s="40"/>
      <c r="AD89" s="40"/>
      <c r="AE89" s="27"/>
      <c r="AF89" s="205" t="str">
        <f t="shared" si="30"/>
        <v>Non-work-related accident</v>
      </c>
      <c r="AG89" s="218"/>
      <c r="AH89" s="238">
        <f t="shared" si="31"/>
        <v>0</v>
      </c>
      <c r="AI89" s="261"/>
      <c r="AJ89" s="262"/>
      <c r="AK89" s="245">
        <f ca="1">IF(EB.Anwendung&lt;&gt;"",IF(MONTH(Monat.Tag1)=1,0,IF(MONTH(Monat.Tag1)=2,January!Monat.NBUUeVM,IF(MONTH(Monat.Tag1)=3,February!Monat.NBUUeVM,IF(MONTH(Monat.Tag1)=4,March!Monat.NBUUeVM,IF(MONTH(Monat.Tag1)=5,April!Monat.NBUUeVM,IF(MONTH(Monat.Tag1)=6,May!Monat.NBUUeVM,IF(MONTH(Monat.Tag1)=7,June!Monat.NBUUeVM,IF(MONTH(Monat.Tag1)=8,July!Monat.NBUUeVM,IF(MONTH(Monat.Tag1)=9,August!Monat.NBUUeVM,IF(MONTH(Monat.Tag1)=10,September!Monat.NBUUeVM,IF(MONTH(Monat.Tag1)=11,October!Monat.NBUUeVM,IF(MONTH(Monat.Tag1)=12,November!Monat.NBUUeVM,"")))))))))))),"")</f>
        <v>0</v>
      </c>
      <c r="AL89" s="209"/>
      <c r="AM89" s="246">
        <f t="shared" ca="1" si="32"/>
        <v>0</v>
      </c>
      <c r="AN89" s="208"/>
      <c r="AO89" s="208"/>
      <c r="AP89" s="119"/>
    </row>
    <row r="90" spans="1:42" s="38" customFormat="1" ht="15" customHeight="1" x14ac:dyDescent="0.2">
      <c r="A90" s="212" t="s">
        <v>84</v>
      </c>
      <c r="B90" s="40"/>
      <c r="C90" s="40"/>
      <c r="D90" s="40"/>
      <c r="E90" s="27"/>
      <c r="F90" s="40"/>
      <c r="G90" s="40"/>
      <c r="H90" s="40"/>
      <c r="I90" s="40"/>
      <c r="J90" s="27"/>
      <c r="K90" s="40"/>
      <c r="L90" s="27"/>
      <c r="M90" s="40"/>
      <c r="N90" s="40"/>
      <c r="O90" s="40"/>
      <c r="P90" s="40"/>
      <c r="Q90" s="27"/>
      <c r="R90" s="40"/>
      <c r="S90" s="27"/>
      <c r="T90" s="27"/>
      <c r="U90" s="40"/>
      <c r="V90" s="40"/>
      <c r="W90" s="40"/>
      <c r="X90" s="27"/>
      <c r="Y90" s="40"/>
      <c r="Z90" s="39"/>
      <c r="AA90" s="40"/>
      <c r="AB90" s="40"/>
      <c r="AC90" s="40"/>
      <c r="AD90" s="40"/>
      <c r="AE90" s="27"/>
      <c r="AF90" s="205" t="str">
        <f t="shared" si="30"/>
        <v>Military/civilian service</v>
      </c>
      <c r="AG90" s="218"/>
      <c r="AH90" s="238">
        <f t="shared" si="31"/>
        <v>0</v>
      </c>
      <c r="AI90" s="261"/>
      <c r="AJ90" s="262"/>
      <c r="AK90" s="245">
        <f ca="1">IF(EB.Anwendung&lt;&gt;"",IF(MONTH(Monat.Tag1)=1,0,IF(MONTH(Monat.Tag1)=2,January!Monat.MZSUeVM,IF(MONTH(Monat.Tag1)=3,February!Monat.MZSUeVM,IF(MONTH(Monat.Tag1)=4,March!Monat.MZSUeVM,IF(MONTH(Monat.Tag1)=5,April!Monat.MZSUeVM,IF(MONTH(Monat.Tag1)=6,May!Monat.MZSUeVM,IF(MONTH(Monat.Tag1)=7,June!Monat.MZSUeVM,IF(MONTH(Monat.Tag1)=8,July!Monat.MZSUeVM,IF(MONTH(Monat.Tag1)=9,August!Monat.MZSUeVM,IF(MONTH(Monat.Tag1)=10,September!Monat.MZSUeVM,IF(MONTH(Monat.Tag1)=11,October!Monat.MZSUeVM,IF(MONTH(Monat.Tag1)=12,November!Monat.MZSUeVM,"")))))))))))),"")</f>
        <v>0</v>
      </c>
      <c r="AL90" s="209"/>
      <c r="AM90" s="246">
        <f t="shared" ca="1" si="32"/>
        <v>0</v>
      </c>
      <c r="AN90" s="208"/>
      <c r="AO90" s="208"/>
      <c r="AP90" s="119"/>
    </row>
    <row r="91" spans="1:42" s="38" customFormat="1" ht="15" customHeight="1" x14ac:dyDescent="0.2">
      <c r="A91" s="212" t="s">
        <v>85</v>
      </c>
      <c r="B91" s="40"/>
      <c r="C91" s="40"/>
      <c r="D91" s="40"/>
      <c r="E91" s="27"/>
      <c r="F91" s="40"/>
      <c r="G91" s="40"/>
      <c r="H91" s="40"/>
      <c r="I91" s="40"/>
      <c r="J91" s="27"/>
      <c r="K91" s="40"/>
      <c r="L91" s="27"/>
      <c r="M91" s="40"/>
      <c r="N91" s="40"/>
      <c r="O91" s="40"/>
      <c r="P91" s="40"/>
      <c r="Q91" s="27"/>
      <c r="R91" s="40"/>
      <c r="S91" s="27"/>
      <c r="T91" s="27"/>
      <c r="U91" s="40"/>
      <c r="V91" s="40"/>
      <c r="W91" s="40"/>
      <c r="X91" s="27"/>
      <c r="Y91" s="40"/>
      <c r="Z91" s="39"/>
      <c r="AA91" s="40"/>
      <c r="AB91" s="40"/>
      <c r="AC91" s="40"/>
      <c r="AD91" s="40"/>
      <c r="AE91" s="27"/>
      <c r="AF91" s="205" t="str">
        <f t="shared" si="30"/>
        <v>Continuing education</v>
      </c>
      <c r="AG91" s="218"/>
      <c r="AH91" s="238">
        <f t="shared" si="31"/>
        <v>0</v>
      </c>
      <c r="AI91" s="261"/>
      <c r="AJ91" s="262"/>
      <c r="AK91" s="245">
        <f ca="1">IF(EB.Anwendung&lt;&gt;"",IF(MONTH(Monat.Tag1)=1,0,IF(MONTH(Monat.Tag1)=2,January!Monat.WBUeVM,IF(MONTH(Monat.Tag1)=3,February!Monat.WBUeVM,IF(MONTH(Monat.Tag1)=4,March!Monat.WBUeVM,IF(MONTH(Monat.Tag1)=5,April!Monat.WBUeVM,IF(MONTH(Monat.Tag1)=6,May!Monat.WBUeVM,IF(MONTH(Monat.Tag1)=7,June!Monat.WBUeVM,IF(MONTH(Monat.Tag1)=8,July!Monat.WBUeVM,IF(MONTH(Monat.Tag1)=9,August!Monat.WBUeVM,IF(MONTH(Monat.Tag1)=10,September!Monat.WBUeVM,IF(MONTH(Monat.Tag1)=11,October!Monat.WBUeVM,IF(MONTH(Monat.Tag1)=12,November!Monat.WBUeVM,"")))))))))))),"")</f>
        <v>0</v>
      </c>
      <c r="AL91" s="209"/>
      <c r="AM91" s="246">
        <f t="shared" ca="1" si="32"/>
        <v>0</v>
      </c>
      <c r="AN91" s="208"/>
      <c r="AO91" s="208"/>
      <c r="AP91" s="119"/>
    </row>
    <row r="92" spans="1:42" s="38" customFormat="1" ht="15" customHeight="1" x14ac:dyDescent="0.2">
      <c r="A92" s="212" t="s">
        <v>86</v>
      </c>
      <c r="B92" s="40"/>
      <c r="C92" s="40"/>
      <c r="D92" s="40"/>
      <c r="E92" s="27"/>
      <c r="F92" s="40"/>
      <c r="G92" s="40"/>
      <c r="H92" s="40"/>
      <c r="I92" s="40"/>
      <c r="J92" s="27"/>
      <c r="K92" s="40"/>
      <c r="L92" s="27"/>
      <c r="M92" s="40"/>
      <c r="N92" s="40"/>
      <c r="O92" s="40"/>
      <c r="P92" s="40"/>
      <c r="Q92" s="27"/>
      <c r="R92" s="40"/>
      <c r="S92" s="27"/>
      <c r="T92" s="27"/>
      <c r="U92" s="40"/>
      <c r="V92" s="40"/>
      <c r="W92" s="40"/>
      <c r="X92" s="27"/>
      <c r="Y92" s="40"/>
      <c r="Z92" s="39"/>
      <c r="AA92" s="40"/>
      <c r="AB92" s="40"/>
      <c r="AC92" s="40"/>
      <c r="AD92" s="40"/>
      <c r="AE92" s="27"/>
      <c r="AF92" s="205" t="str">
        <f t="shared" si="30"/>
        <v>Paid leave</v>
      </c>
      <c r="AG92" s="218"/>
      <c r="AH92" s="238">
        <f t="shared" si="31"/>
        <v>0</v>
      </c>
      <c r="AI92" s="261"/>
      <c r="AJ92" s="262"/>
      <c r="AK92" s="245">
        <f ca="1">IF(EB.Anwendung&lt;&gt;"",IF(MONTH(Monat.Tag1)=1,0,IF(MONTH(Monat.Tag1)=2,January!Monat.BesUrlaubUeVM,IF(MONTH(Monat.Tag1)=3,February!Monat.BesUrlaubUeVM,IF(MONTH(Monat.Tag1)=4,March!Monat.BesUrlaubUeVM,IF(MONTH(Monat.Tag1)=5,April!Monat.BesUrlaubUeVM,IF(MONTH(Monat.Tag1)=6,May!Monat.BesUrlaubUeVM,IF(MONTH(Monat.Tag1)=7,June!Monat.BesUrlaubUeVM,IF(MONTH(Monat.Tag1)=8,July!Monat.BesUrlaubUeVM,IF(MONTH(Monat.Tag1)=9,August!Monat.BesUrlaubUeVM,IF(MONTH(Monat.Tag1)=10,September!Monat.BesUrlaubUeVM,IF(MONTH(Monat.Tag1)=11,October!Monat.BesUrlaubUeVM,IF(MONTH(Monat.Tag1)=12,November!Monat.BesUrlaubUeVM,"")))))))))))),"")</f>
        <v>0</v>
      </c>
      <c r="AL92" s="209"/>
      <c r="AM92" s="246">
        <f t="shared" ca="1" si="32"/>
        <v>0</v>
      </c>
      <c r="AN92" s="208"/>
      <c r="AO92" s="208"/>
      <c r="AP92" s="119"/>
    </row>
    <row r="93" spans="1:42" s="38" customFormat="1" ht="15" customHeight="1" x14ac:dyDescent="0.2">
      <c r="A93" s="212" t="s">
        <v>87</v>
      </c>
      <c r="B93" s="40"/>
      <c r="C93" s="40"/>
      <c r="D93" s="40"/>
      <c r="E93" s="27"/>
      <c r="F93" s="40"/>
      <c r="G93" s="40"/>
      <c r="H93" s="40"/>
      <c r="I93" s="40"/>
      <c r="J93" s="27"/>
      <c r="K93" s="40"/>
      <c r="L93" s="27"/>
      <c r="M93" s="40"/>
      <c r="N93" s="40"/>
      <c r="O93" s="40"/>
      <c r="P93" s="40"/>
      <c r="Q93" s="27"/>
      <c r="R93" s="40"/>
      <c r="S93" s="27"/>
      <c r="T93" s="27"/>
      <c r="U93" s="40"/>
      <c r="V93" s="40"/>
      <c r="W93" s="40"/>
      <c r="X93" s="27"/>
      <c r="Y93" s="40"/>
      <c r="Z93" s="39"/>
      <c r="AA93" s="40"/>
      <c r="AB93" s="40"/>
      <c r="AC93" s="40"/>
      <c r="AD93" s="40"/>
      <c r="AE93" s="27"/>
      <c r="AF93" s="205" t="str">
        <f t="shared" si="30"/>
        <v>Unpaid leave</v>
      </c>
      <c r="AG93" s="218"/>
      <c r="AH93" s="238">
        <f t="shared" si="31"/>
        <v>0</v>
      </c>
      <c r="AI93" s="261"/>
      <c r="AJ93" s="262"/>
      <c r="AK93" s="245">
        <f ca="1">IF(EB.Anwendung&lt;&gt;"",IF(MONTH(Monat.Tag1)=1,0,IF(MONTH(Monat.Tag1)=2,January!Monat.UnbesUrlaubUeVM,IF(MONTH(Monat.Tag1)=3,February!Monat.UnbesUrlaubUeVM,IF(MONTH(Monat.Tag1)=4,March!Monat.UnbesUrlaubUeVM,IF(MONTH(Monat.Tag1)=5,April!Monat.UnbesUrlaubUeVM,IF(MONTH(Monat.Tag1)=6,May!Monat.UnbesUrlaubUeVM,IF(MONTH(Monat.Tag1)=7,June!Monat.UnbesUrlaubUeVM,IF(MONTH(Monat.Tag1)=8,July!Monat.UnbesUrlaubUeVM,IF(MONTH(Monat.Tag1)=9,August!Monat.UnbesUrlaubUeVM,IF(MONTH(Monat.Tag1)=10,September!Monat.UnbesUrlaubUeVM,IF(MONTH(Monat.Tag1)=11,October!Monat.UnbesUrlaubUeVM,IF(MONTH(Monat.Tag1)=12,November!Monat.UnbesUrlaubUeVM,"")))))))))))),"")</f>
        <v>0</v>
      </c>
      <c r="AL93" s="209"/>
      <c r="AM93" s="246">
        <f t="shared" ca="1" si="32"/>
        <v>0</v>
      </c>
      <c r="AN93" s="208"/>
      <c r="AO93" s="208"/>
      <c r="AP93" s="119"/>
    </row>
    <row r="94" spans="1:42" s="38" customFormat="1" ht="15" hidden="1" customHeight="1" outlineLevel="1" x14ac:dyDescent="0.2">
      <c r="A94" s="212" t="s">
        <v>120</v>
      </c>
      <c r="B94" s="40"/>
      <c r="C94" s="40"/>
      <c r="D94" s="40"/>
      <c r="E94" s="27"/>
      <c r="F94" s="40"/>
      <c r="G94" s="40"/>
      <c r="H94" s="40"/>
      <c r="I94" s="40"/>
      <c r="J94" s="27"/>
      <c r="K94" s="40"/>
      <c r="L94" s="27"/>
      <c r="M94" s="40"/>
      <c r="N94" s="40"/>
      <c r="O94" s="40"/>
      <c r="P94" s="40"/>
      <c r="Q94" s="27"/>
      <c r="R94" s="40"/>
      <c r="S94" s="27"/>
      <c r="T94" s="27"/>
      <c r="U94" s="40"/>
      <c r="V94" s="40"/>
      <c r="W94" s="40"/>
      <c r="X94" s="27"/>
      <c r="Y94" s="40"/>
      <c r="Z94" s="39"/>
      <c r="AA94" s="40"/>
      <c r="AB94" s="40"/>
      <c r="AC94" s="40"/>
      <c r="AD94" s="40"/>
      <c r="AE94" s="27"/>
      <c r="AF94" s="205" t="str">
        <f t="shared" si="30"/>
        <v>Secondary employment</v>
      </c>
      <c r="AG94" s="218"/>
      <c r="AH94" s="238">
        <f t="shared" si="31"/>
        <v>0</v>
      </c>
      <c r="AI94" s="261"/>
      <c r="AJ94" s="262"/>
      <c r="AK94" s="245">
        <f ca="1">IF(EB.Anwendung&lt;&gt;"",IF(MONTH(Monat.Tag1)=1,0,IF(MONTH(Monat.Tag1)=2,January!Monat.NBUeVM,IF(MONTH(Monat.Tag1)=3,February!Monat.NBUeVM,IF(MONTH(Monat.Tag1)=4,March!Monat.NBUeVM,IF(MONTH(Monat.Tag1)=5,April!Monat.NBUeVM,IF(MONTH(Monat.Tag1)=6,May!Monat.NBUeVM,IF(MONTH(Monat.Tag1)=7,June!Monat.NBUeVM,IF(MONTH(Monat.Tag1)=8,July!Monat.NBUeVM,IF(MONTH(Monat.Tag1)=9,August!Monat.NBUeVM,IF(MONTH(Monat.Tag1)=10,September!Monat.NBUeVM,IF(MONTH(Monat.Tag1)=11,October!Monat.NBUeVM,IF(MONTH(Monat.Tag1)=12,November!Monat.NBUeVM,"")))))))))))),"")</f>
        <v>0</v>
      </c>
      <c r="AL94" s="209"/>
      <c r="AM94" s="246">
        <f t="shared" ca="1" si="32"/>
        <v>0</v>
      </c>
      <c r="AN94" s="208"/>
      <c r="AO94" s="208"/>
      <c r="AP94" s="119"/>
    </row>
    <row r="95" spans="1:42" s="38" customFormat="1" ht="15" customHeight="1" collapsed="1" x14ac:dyDescent="0.2">
      <c r="A95" s="212" t="s">
        <v>56</v>
      </c>
      <c r="B95" s="40"/>
      <c r="C95" s="40"/>
      <c r="D95" s="40"/>
      <c r="E95" s="27"/>
      <c r="F95" s="40"/>
      <c r="G95" s="40"/>
      <c r="H95" s="40"/>
      <c r="I95" s="40"/>
      <c r="J95" s="27"/>
      <c r="K95" s="40"/>
      <c r="L95" s="27"/>
      <c r="M95" s="40"/>
      <c r="N95" s="40"/>
      <c r="O95" s="40"/>
      <c r="P95" s="40"/>
      <c r="Q95" s="27"/>
      <c r="R95" s="40"/>
      <c r="S95" s="27"/>
      <c r="T95" s="27"/>
      <c r="U95" s="40"/>
      <c r="V95" s="40"/>
      <c r="W95" s="40"/>
      <c r="X95" s="27"/>
      <c r="Y95" s="40"/>
      <c r="Z95" s="39"/>
      <c r="AA95" s="40"/>
      <c r="AB95" s="40"/>
      <c r="AC95" s="40"/>
      <c r="AD95" s="40"/>
      <c r="AE95" s="27"/>
      <c r="AF95" s="205" t="str">
        <f t="shared" si="30"/>
        <v>Seniority allowance</v>
      </c>
      <c r="AG95" s="218"/>
      <c r="AH95" s="238">
        <f t="shared" si="31"/>
        <v>0</v>
      </c>
      <c r="AI95" s="261"/>
      <c r="AJ95" s="262"/>
      <c r="AK95" s="245">
        <f ca="1">IF(EB.Anwendung&lt;&gt;"",IF(MONTH(Monat.Tag1)=1,EB.DAG,IF(MONTH(Monat.Tag1)=2,January!Monat.DAGUeVM,IF(MONTH(Monat.Tag1)=3,February!Monat.DAGUeVM,IF(MONTH(Monat.Tag1)=4,March!Monat.DAGUeVM,IF(MONTH(Monat.Tag1)=5,April!Monat.DAGUeVM,IF(MONTH(Monat.Tag1)=6,May!Monat.DAGUeVM,IF(MONTH(Monat.Tag1)=7,June!Monat.DAGUeVM,IF(MONTH(Monat.Tag1)=8,July!Monat.DAGUeVM,IF(MONTH(Monat.Tag1)=9,August!Monat.DAGUeVM,IF(MONTH(Monat.Tag1)=10,September!Monat.DAGUeVM,IF(MONTH(Monat.Tag1)=11,October!Monat.DAGUeVM,IF(MONTH(Monat.Tag1)=12,November!Monat.DAGUeVM,"")))))))))))),"")</f>
        <v>0</v>
      </c>
      <c r="AL95" s="209"/>
      <c r="AM95" s="246">
        <f ca="1">AK95-AH95</f>
        <v>0</v>
      </c>
      <c r="AN95" s="208"/>
      <c r="AO95" s="208"/>
      <c r="AP95" s="119"/>
    </row>
    <row r="96" spans="1:42" s="38" customFormat="1" ht="11.25" customHeight="1" x14ac:dyDescent="0.2">
      <c r="A96" s="220"/>
      <c r="B96" s="223"/>
      <c r="C96" s="223"/>
      <c r="D96" s="223"/>
      <c r="E96" s="223"/>
      <c r="F96" s="223"/>
      <c r="G96" s="223"/>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23"/>
      <c r="AF96" s="205"/>
      <c r="AG96" s="228"/>
      <c r="AH96" s="224"/>
      <c r="AI96" s="278"/>
      <c r="AJ96" s="262"/>
      <c r="AK96" s="262"/>
      <c r="AL96" s="209"/>
      <c r="AM96" s="279"/>
      <c r="AN96" s="213"/>
      <c r="AO96" s="213"/>
      <c r="AP96" s="119"/>
    </row>
    <row r="97" spans="1:42" s="38" customFormat="1" ht="15" customHeight="1" x14ac:dyDescent="0.2">
      <c r="A97" s="215" t="str">
        <f t="shared" ref="A97:A111" ca="1" si="33">IF(ROW(A97)-ROW(INDEX(Monat.Projekte.Zeilen,1))+1&gt;EB.AnzProjekte,"",OFFSET(EB.Projekte.Knoten,ROW(A97)-ROW(INDEX(Monat.Projekte.Zeilen,1))+1,0,1,1))</f>
        <v/>
      </c>
      <c r="B97" s="40"/>
      <c r="C97" s="40"/>
      <c r="D97" s="40"/>
      <c r="E97" s="27"/>
      <c r="F97" s="40"/>
      <c r="G97" s="40"/>
      <c r="H97" s="40"/>
      <c r="I97" s="40"/>
      <c r="J97" s="27"/>
      <c r="K97" s="40"/>
      <c r="L97" s="27"/>
      <c r="M97" s="40"/>
      <c r="N97" s="40"/>
      <c r="O97" s="40"/>
      <c r="P97" s="40"/>
      <c r="Q97" s="27"/>
      <c r="R97" s="40"/>
      <c r="S97" s="27"/>
      <c r="T97" s="27"/>
      <c r="U97" s="40"/>
      <c r="V97" s="40"/>
      <c r="W97" s="40"/>
      <c r="X97" s="27"/>
      <c r="Y97" s="40"/>
      <c r="Z97" s="39"/>
      <c r="AA97" s="40"/>
      <c r="AB97" s="40"/>
      <c r="AC97" s="40"/>
      <c r="AD97" s="40"/>
      <c r="AE97" s="27"/>
      <c r="AF97" s="205" t="str">
        <f t="shared" ref="AF97:AF112" ca="1" si="34">A97</f>
        <v/>
      </c>
      <c r="AG97" s="233"/>
      <c r="AH97" s="285">
        <f t="shared" ref="AH97:AH112" si="35">SUM(B97:AE97)</f>
        <v>0</v>
      </c>
      <c r="AI97" s="261"/>
      <c r="AJ97" s="224"/>
      <c r="AK97" s="245">
        <f ca="1">IF(EB.Anwendung&lt;&gt;"",IF(MONTH(Monat.Tag1)=1,0,IF(MONTH(Monat.Tag1)=2,January!Monat.P1UeVM,IF(MONTH(Monat.Tag1)=3,February!Monat.P1UeVM,IF(MONTH(Monat.Tag1)=4,March!Monat.P1UeVM,IF(MONTH(Monat.Tag1)=5,April!Monat.P1UeVM,IF(MONTH(Monat.Tag1)=6,May!Monat.P1UeVM,IF(MONTH(Monat.Tag1)=7,June!Monat.P1UeVM,IF(MONTH(Monat.Tag1)=8,July!Monat.P1UeVM,IF(MONTH(Monat.Tag1)=9,August!Monat.P1UeVM,IF(MONTH(Monat.Tag1)=10,September!Monat.P1UeVM,IF(MONTH(Monat.Tag1)=11,October!Monat.P1UeVM,IF(MONTH(Monat.Tag1)=12,November!Monat.P1UeVM,"")))))))))))),"")</f>
        <v>0</v>
      </c>
      <c r="AL97" s="209"/>
      <c r="AM97" s="246">
        <f t="shared" ref="AM97:AM112" ca="1" si="36">AH97+AK97</f>
        <v>0</v>
      </c>
      <c r="AN97" s="208"/>
      <c r="AO97" s="208"/>
      <c r="AP97" s="119"/>
    </row>
    <row r="98" spans="1:42" s="38" customFormat="1" ht="15" customHeight="1" x14ac:dyDescent="0.2">
      <c r="A98" s="215" t="str">
        <f t="shared" ca="1" si="33"/>
        <v/>
      </c>
      <c r="B98" s="40"/>
      <c r="C98" s="40"/>
      <c r="D98" s="40"/>
      <c r="E98" s="27"/>
      <c r="F98" s="40"/>
      <c r="G98" s="40"/>
      <c r="H98" s="40"/>
      <c r="I98" s="40"/>
      <c r="J98" s="27"/>
      <c r="K98" s="40"/>
      <c r="L98" s="27"/>
      <c r="M98" s="40"/>
      <c r="N98" s="40"/>
      <c r="O98" s="40"/>
      <c r="P98" s="40"/>
      <c r="Q98" s="27"/>
      <c r="R98" s="40"/>
      <c r="S98" s="27"/>
      <c r="T98" s="27"/>
      <c r="U98" s="40"/>
      <c r="V98" s="40"/>
      <c r="W98" s="40"/>
      <c r="X98" s="27"/>
      <c r="Y98" s="40"/>
      <c r="Z98" s="39"/>
      <c r="AA98" s="40"/>
      <c r="AB98" s="40"/>
      <c r="AC98" s="40"/>
      <c r="AD98" s="40"/>
      <c r="AE98" s="27"/>
      <c r="AF98" s="205" t="str">
        <f t="shared" ca="1" si="34"/>
        <v/>
      </c>
      <c r="AG98" s="218"/>
      <c r="AH98" s="238">
        <f t="shared" si="35"/>
        <v>0</v>
      </c>
      <c r="AI98" s="261"/>
      <c r="AJ98" s="224"/>
      <c r="AK98" s="245">
        <f ca="1">IF(EB.Anwendung&lt;&gt;"",IF(MONTH(Monat.Tag1)=1,0,IF(MONTH(Monat.Tag1)=2,January!Monat.P2UeVM,IF(MONTH(Monat.Tag1)=3,February!Monat.P2UeVM,IF(MONTH(Monat.Tag1)=4,March!Monat.P2UeVM,IF(MONTH(Monat.Tag1)=5,April!Monat.P2UeVM,IF(MONTH(Monat.Tag1)=6,May!Monat.P2UeVM,IF(MONTH(Monat.Tag1)=7,June!Monat.P2UeVM,IF(MONTH(Monat.Tag1)=8,July!Monat.P2UeVM,IF(MONTH(Monat.Tag1)=9,August!Monat.P2UeVM,IF(MONTH(Monat.Tag1)=10,September!Monat.P2UeVM,IF(MONTH(Monat.Tag1)=11,October!Monat.P2UeVM,IF(MONTH(Monat.Tag1)=12,November!Monat.P2UeVM,"")))))))))))),"")</f>
        <v>0</v>
      </c>
      <c r="AL98" s="209"/>
      <c r="AM98" s="246">
        <f t="shared" ca="1" si="36"/>
        <v>0</v>
      </c>
      <c r="AN98" s="208"/>
      <c r="AO98" s="208"/>
      <c r="AP98" s="119"/>
    </row>
    <row r="99" spans="1:42" s="38" customFormat="1" ht="15" customHeight="1" x14ac:dyDescent="0.2">
      <c r="A99" s="215" t="str">
        <f t="shared" ca="1" si="33"/>
        <v/>
      </c>
      <c r="B99" s="40"/>
      <c r="C99" s="40"/>
      <c r="D99" s="40"/>
      <c r="E99" s="27"/>
      <c r="F99" s="40"/>
      <c r="G99" s="40"/>
      <c r="H99" s="40"/>
      <c r="I99" s="40"/>
      <c r="J99" s="27"/>
      <c r="K99" s="40"/>
      <c r="L99" s="27"/>
      <c r="M99" s="40"/>
      <c r="N99" s="40"/>
      <c r="O99" s="40"/>
      <c r="P99" s="40"/>
      <c r="Q99" s="27"/>
      <c r="R99" s="40"/>
      <c r="S99" s="27"/>
      <c r="T99" s="27"/>
      <c r="U99" s="40"/>
      <c r="V99" s="40"/>
      <c r="W99" s="40"/>
      <c r="X99" s="27"/>
      <c r="Y99" s="40"/>
      <c r="Z99" s="39"/>
      <c r="AA99" s="40"/>
      <c r="AB99" s="40"/>
      <c r="AC99" s="40"/>
      <c r="AD99" s="40"/>
      <c r="AE99" s="27"/>
      <c r="AF99" s="205" t="str">
        <f t="shared" ca="1" si="34"/>
        <v/>
      </c>
      <c r="AG99" s="286"/>
      <c r="AH99" s="238">
        <f t="shared" si="35"/>
        <v>0</v>
      </c>
      <c r="AI99" s="261"/>
      <c r="AJ99" s="224"/>
      <c r="AK99" s="245">
        <f ca="1">IF(EB.Anwendung&lt;&gt;"",IF(MONTH(Monat.Tag1)=1,0,IF(MONTH(Monat.Tag1)=2,January!Monat.P3UeVM,IF(MONTH(Monat.Tag1)=3,February!Monat.P3UeVM,IF(MONTH(Monat.Tag1)=4,March!Monat.P3UeVM,IF(MONTH(Monat.Tag1)=5,April!Monat.P3UeVM,IF(MONTH(Monat.Tag1)=6,May!Monat.P3UeVM,IF(MONTH(Monat.Tag1)=7,June!Monat.P3UeVM,IF(MONTH(Monat.Tag1)=8,July!Monat.P3UeVM,IF(MONTH(Monat.Tag1)=9,August!Monat.P3UeVM,IF(MONTH(Monat.Tag1)=10,September!Monat.P3UeVM,IF(MONTH(Monat.Tag1)=11,October!Monat.P3UeVM,IF(MONTH(Monat.Tag1)=12,November!Monat.P3UeVM,"")))))))))))),"")</f>
        <v>0</v>
      </c>
      <c r="AL99" s="209"/>
      <c r="AM99" s="246">
        <f t="shared" ca="1" si="36"/>
        <v>0</v>
      </c>
      <c r="AN99" s="208"/>
      <c r="AO99" s="208"/>
      <c r="AP99" s="119"/>
    </row>
    <row r="100" spans="1:42" s="38" customFormat="1" ht="15" customHeight="1" x14ac:dyDescent="0.2">
      <c r="A100" s="215" t="str">
        <f t="shared" ca="1" si="33"/>
        <v/>
      </c>
      <c r="B100" s="40"/>
      <c r="C100" s="40"/>
      <c r="D100" s="40"/>
      <c r="E100" s="27"/>
      <c r="F100" s="40"/>
      <c r="G100" s="40"/>
      <c r="H100" s="40"/>
      <c r="I100" s="40"/>
      <c r="J100" s="27"/>
      <c r="K100" s="40"/>
      <c r="L100" s="27"/>
      <c r="M100" s="40"/>
      <c r="N100" s="40"/>
      <c r="O100" s="40"/>
      <c r="P100" s="40"/>
      <c r="Q100" s="27"/>
      <c r="R100" s="40"/>
      <c r="S100" s="27"/>
      <c r="T100" s="27"/>
      <c r="U100" s="40"/>
      <c r="V100" s="40"/>
      <c r="W100" s="40"/>
      <c r="X100" s="27"/>
      <c r="Y100" s="40"/>
      <c r="Z100" s="39"/>
      <c r="AA100" s="40"/>
      <c r="AB100" s="40"/>
      <c r="AC100" s="40"/>
      <c r="AD100" s="40"/>
      <c r="AE100" s="27"/>
      <c r="AF100" s="205" t="str">
        <f t="shared" ca="1" si="34"/>
        <v/>
      </c>
      <c r="AG100" s="228"/>
      <c r="AH100" s="238">
        <f t="shared" si="35"/>
        <v>0</v>
      </c>
      <c r="AI100" s="261"/>
      <c r="AJ100" s="224"/>
      <c r="AK100" s="245">
        <f ca="1">IF(EB.Anwendung&lt;&gt;"",IF(MONTH(Monat.Tag1)=1,0,IF(MONTH(Monat.Tag1)=2,January!Monat.P4UeVM,IF(MONTH(Monat.Tag1)=3,February!Monat.P4UeVM,IF(MONTH(Monat.Tag1)=4,March!Monat.P4UeVM,IF(MONTH(Monat.Tag1)=5,April!Monat.P4UeVM,IF(MONTH(Monat.Tag1)=6,May!Monat.P4UeVM,IF(MONTH(Monat.Tag1)=7,June!Monat.P4UeVM,IF(MONTH(Monat.Tag1)=8,July!Monat.P4UeVM,IF(MONTH(Monat.Tag1)=9,August!Monat.P4UeVM,IF(MONTH(Monat.Tag1)=10,September!Monat.P4UeVM,IF(MONTH(Monat.Tag1)=11,October!Monat.P4UeVM,IF(MONTH(Monat.Tag1)=12,November!Monat.P4UeVM,"")))))))))))),"")</f>
        <v>0</v>
      </c>
      <c r="AL100" s="209"/>
      <c r="AM100" s="246">
        <f t="shared" ca="1" si="36"/>
        <v>0</v>
      </c>
      <c r="AN100" s="208"/>
      <c r="AO100" s="208"/>
      <c r="AP100" s="119"/>
    </row>
    <row r="101" spans="1:42" s="38" customFormat="1" ht="15" customHeight="1" x14ac:dyDescent="0.2">
      <c r="A101" s="215" t="str">
        <f t="shared" ca="1" si="33"/>
        <v/>
      </c>
      <c r="B101" s="40"/>
      <c r="C101" s="40"/>
      <c r="D101" s="40"/>
      <c r="E101" s="27"/>
      <c r="F101" s="40"/>
      <c r="G101" s="40"/>
      <c r="H101" s="40"/>
      <c r="I101" s="40"/>
      <c r="J101" s="27"/>
      <c r="K101" s="40"/>
      <c r="L101" s="27"/>
      <c r="M101" s="40"/>
      <c r="N101" s="40"/>
      <c r="O101" s="40"/>
      <c r="P101" s="40"/>
      <c r="Q101" s="27"/>
      <c r="R101" s="40"/>
      <c r="S101" s="27"/>
      <c r="T101" s="27"/>
      <c r="U101" s="40"/>
      <c r="V101" s="40"/>
      <c r="W101" s="40"/>
      <c r="X101" s="27"/>
      <c r="Y101" s="40"/>
      <c r="Z101" s="39"/>
      <c r="AA101" s="40"/>
      <c r="AB101" s="40"/>
      <c r="AC101" s="40"/>
      <c r="AD101" s="40"/>
      <c r="AE101" s="27"/>
      <c r="AF101" s="205" t="str">
        <f t="shared" ca="1" si="34"/>
        <v/>
      </c>
      <c r="AG101" s="218"/>
      <c r="AH101" s="238">
        <f t="shared" si="35"/>
        <v>0</v>
      </c>
      <c r="AI101" s="261"/>
      <c r="AJ101" s="224"/>
      <c r="AK101" s="245">
        <f ca="1">IF(EB.Anwendung&lt;&gt;"",IF(MONTH(Monat.Tag1)=1,0,IF(MONTH(Monat.Tag1)=2,January!Monat.P5UeVM,IF(MONTH(Monat.Tag1)=3,February!Monat.P5UeVM,IF(MONTH(Monat.Tag1)=4,March!Monat.P5UeVM,IF(MONTH(Monat.Tag1)=5,April!Monat.P5UeVM,IF(MONTH(Monat.Tag1)=6,May!Monat.P5UeVM,IF(MONTH(Monat.Tag1)=7,June!Monat.P5UeVM,IF(MONTH(Monat.Tag1)=8,July!Monat.P5UeVM,IF(MONTH(Monat.Tag1)=9,August!Monat.P5UeVM,IF(MONTH(Monat.Tag1)=10,September!Monat.P5UeVM,IF(MONTH(Monat.Tag1)=11,October!Monat.P5UeVM,IF(MONTH(Monat.Tag1)=12,November!Monat.P5UeVM,"")))))))))))),"")</f>
        <v>0</v>
      </c>
      <c r="AL101" s="209"/>
      <c r="AM101" s="246">
        <f t="shared" ca="1" si="36"/>
        <v>0</v>
      </c>
      <c r="AN101" s="208"/>
      <c r="AO101" s="208"/>
      <c r="AP101" s="119"/>
    </row>
    <row r="102" spans="1:42" s="38" customFormat="1" ht="15" hidden="1" customHeight="1" outlineLevel="1" x14ac:dyDescent="0.2">
      <c r="A102" s="215" t="str">
        <f t="shared" ca="1" si="33"/>
        <v/>
      </c>
      <c r="B102" s="40"/>
      <c r="C102" s="40"/>
      <c r="D102" s="40"/>
      <c r="E102" s="27"/>
      <c r="F102" s="40"/>
      <c r="G102" s="40"/>
      <c r="H102" s="40"/>
      <c r="I102" s="40"/>
      <c r="J102" s="27"/>
      <c r="K102" s="40"/>
      <c r="L102" s="27"/>
      <c r="M102" s="40"/>
      <c r="N102" s="40"/>
      <c r="O102" s="40"/>
      <c r="P102" s="40"/>
      <c r="Q102" s="27"/>
      <c r="R102" s="40"/>
      <c r="S102" s="27"/>
      <c r="T102" s="27"/>
      <c r="U102" s="40"/>
      <c r="V102" s="40"/>
      <c r="W102" s="40"/>
      <c r="X102" s="27"/>
      <c r="Y102" s="40"/>
      <c r="Z102" s="39"/>
      <c r="AA102" s="40"/>
      <c r="AB102" s="40"/>
      <c r="AC102" s="40"/>
      <c r="AD102" s="40"/>
      <c r="AE102" s="27"/>
      <c r="AF102" s="205" t="str">
        <f t="shared" ca="1" si="34"/>
        <v/>
      </c>
      <c r="AG102" s="286"/>
      <c r="AH102" s="238">
        <f t="shared" si="35"/>
        <v>0</v>
      </c>
      <c r="AI102" s="261"/>
      <c r="AJ102" s="224"/>
      <c r="AK102" s="245">
        <f ca="1">IF(EB.Anwendung&lt;&gt;"",IF(MONTH(Monat.Tag1)=1,0,IF(MONTH(Monat.Tag1)=2,January!Monat.P6UeVM,IF(MONTH(Monat.Tag1)=3,February!Monat.P6UeVM,IF(MONTH(Monat.Tag1)=4,March!Monat.P6UeVM,IF(MONTH(Monat.Tag1)=5,April!Monat.P6UeVM,IF(MONTH(Monat.Tag1)=6,May!Monat.P6UeVM,IF(MONTH(Monat.Tag1)=7,June!Monat.P6UeVM,IF(MONTH(Monat.Tag1)=8,July!Monat.P6UeVM,IF(MONTH(Monat.Tag1)=9,August!Monat.P6UeVM,IF(MONTH(Monat.Tag1)=10,September!Monat.P6UeVM,IF(MONTH(Monat.Tag1)=11,October!Monat.P6UeVM,IF(MONTH(Monat.Tag1)=12,November!Monat.P6UeVM,"")))))))))))),"")</f>
        <v>0</v>
      </c>
      <c r="AL102" s="209"/>
      <c r="AM102" s="246">
        <f t="shared" ca="1" si="36"/>
        <v>0</v>
      </c>
      <c r="AN102" s="208"/>
      <c r="AO102" s="208"/>
      <c r="AP102" s="119"/>
    </row>
    <row r="103" spans="1:42" s="38" customFormat="1" ht="15" hidden="1" customHeight="1" outlineLevel="1" x14ac:dyDescent="0.2">
      <c r="A103" s="215" t="str">
        <f t="shared" ca="1" si="33"/>
        <v/>
      </c>
      <c r="B103" s="40"/>
      <c r="C103" s="40"/>
      <c r="D103" s="40"/>
      <c r="E103" s="27"/>
      <c r="F103" s="40"/>
      <c r="G103" s="40"/>
      <c r="H103" s="40"/>
      <c r="I103" s="40"/>
      <c r="J103" s="27"/>
      <c r="K103" s="40"/>
      <c r="L103" s="27"/>
      <c r="M103" s="40"/>
      <c r="N103" s="40"/>
      <c r="O103" s="40"/>
      <c r="P103" s="40"/>
      <c r="Q103" s="27"/>
      <c r="R103" s="40"/>
      <c r="S103" s="27"/>
      <c r="T103" s="27"/>
      <c r="U103" s="40"/>
      <c r="V103" s="40"/>
      <c r="W103" s="40"/>
      <c r="X103" s="27"/>
      <c r="Y103" s="40"/>
      <c r="Z103" s="39"/>
      <c r="AA103" s="40"/>
      <c r="AB103" s="40"/>
      <c r="AC103" s="40"/>
      <c r="AD103" s="40"/>
      <c r="AE103" s="27"/>
      <c r="AF103" s="205" t="str">
        <f t="shared" ca="1" si="34"/>
        <v/>
      </c>
      <c r="AG103" s="228"/>
      <c r="AH103" s="238">
        <f t="shared" si="35"/>
        <v>0</v>
      </c>
      <c r="AI103" s="261"/>
      <c r="AJ103" s="224"/>
      <c r="AK103" s="245">
        <f ca="1">IF(EB.Anwendung&lt;&gt;"",IF(MONTH(Monat.Tag1)=1,0,IF(MONTH(Monat.Tag1)=2,January!Monat.P7UeVM,IF(MONTH(Monat.Tag1)=3,February!Monat.P7UeVM,IF(MONTH(Monat.Tag1)=4,March!Monat.P7UeVM,IF(MONTH(Monat.Tag1)=5,April!Monat.P7UeVM,IF(MONTH(Monat.Tag1)=6,May!Monat.P7UeVM,IF(MONTH(Monat.Tag1)=7,June!Monat.P7UeVM,IF(MONTH(Monat.Tag1)=8,July!Monat.P7UeVM,IF(MONTH(Monat.Tag1)=9,August!Monat.P7UeVM,IF(MONTH(Monat.Tag1)=10,September!Monat.P7UeVM,IF(MONTH(Monat.Tag1)=11,October!Monat.P7UeVM,IF(MONTH(Monat.Tag1)=12,November!Monat.P7UeVM,"")))))))))))),"")</f>
        <v>0</v>
      </c>
      <c r="AL103" s="209"/>
      <c r="AM103" s="246">
        <f t="shared" ca="1" si="36"/>
        <v>0</v>
      </c>
      <c r="AN103" s="208"/>
      <c r="AO103" s="208"/>
      <c r="AP103" s="119"/>
    </row>
    <row r="104" spans="1:42" s="38" customFormat="1" ht="15" hidden="1" customHeight="1" outlineLevel="1" x14ac:dyDescent="0.2">
      <c r="A104" s="215" t="str">
        <f t="shared" ca="1" si="33"/>
        <v/>
      </c>
      <c r="B104" s="40"/>
      <c r="C104" s="40"/>
      <c r="D104" s="40"/>
      <c r="E104" s="27"/>
      <c r="F104" s="40"/>
      <c r="G104" s="40"/>
      <c r="H104" s="40"/>
      <c r="I104" s="40"/>
      <c r="J104" s="27"/>
      <c r="K104" s="40"/>
      <c r="L104" s="27"/>
      <c r="M104" s="40"/>
      <c r="N104" s="40"/>
      <c r="O104" s="40"/>
      <c r="P104" s="40"/>
      <c r="Q104" s="27"/>
      <c r="R104" s="40"/>
      <c r="S104" s="27"/>
      <c r="T104" s="27"/>
      <c r="U104" s="40"/>
      <c r="V104" s="40"/>
      <c r="W104" s="40"/>
      <c r="X104" s="27"/>
      <c r="Y104" s="40"/>
      <c r="Z104" s="39"/>
      <c r="AA104" s="40"/>
      <c r="AB104" s="40"/>
      <c r="AC104" s="40"/>
      <c r="AD104" s="40"/>
      <c r="AE104" s="27"/>
      <c r="AF104" s="205" t="str">
        <f t="shared" ca="1" si="34"/>
        <v/>
      </c>
      <c r="AG104" s="233"/>
      <c r="AH104" s="238">
        <f t="shared" si="35"/>
        <v>0</v>
      </c>
      <c r="AI104" s="261"/>
      <c r="AJ104" s="224"/>
      <c r="AK104" s="245">
        <f ca="1">IF(EB.Anwendung&lt;&gt;"",IF(MONTH(Monat.Tag1)=1,0,IF(MONTH(Monat.Tag1)=2,January!Monat.P8UeVM,IF(MONTH(Monat.Tag1)=3,February!Monat.P8UeVM,IF(MONTH(Monat.Tag1)=4,March!Monat.P8UeVM,IF(MONTH(Monat.Tag1)=5,April!Monat.P8UeVM,IF(MONTH(Monat.Tag1)=6,May!Monat.P8UeVM,IF(MONTH(Monat.Tag1)=7,June!Monat.P8UeVM,IF(MONTH(Monat.Tag1)=8,July!Monat.P8UeVM,IF(MONTH(Monat.Tag1)=9,August!Monat.P8UeVM,IF(MONTH(Monat.Tag1)=10,September!Monat.P8UeVM,IF(MONTH(Monat.Tag1)=11,October!Monat.P8UeVM,IF(MONTH(Monat.Tag1)=12,November!Monat.P8UeVM,"")))))))))))),"")</f>
        <v>0</v>
      </c>
      <c r="AL104" s="209"/>
      <c r="AM104" s="246">
        <f t="shared" ca="1" si="36"/>
        <v>0</v>
      </c>
      <c r="AN104" s="208"/>
      <c r="AO104" s="208"/>
      <c r="AP104" s="119"/>
    </row>
    <row r="105" spans="1:42" s="38" customFormat="1" ht="15" hidden="1" customHeight="1" outlineLevel="1" x14ac:dyDescent="0.2">
      <c r="A105" s="215" t="str">
        <f t="shared" ca="1" si="33"/>
        <v/>
      </c>
      <c r="B105" s="40"/>
      <c r="C105" s="40"/>
      <c r="D105" s="40"/>
      <c r="E105" s="27"/>
      <c r="F105" s="40"/>
      <c r="G105" s="40"/>
      <c r="H105" s="40"/>
      <c r="I105" s="40"/>
      <c r="J105" s="27"/>
      <c r="K105" s="40"/>
      <c r="L105" s="27"/>
      <c r="M105" s="40"/>
      <c r="N105" s="40"/>
      <c r="O105" s="40"/>
      <c r="P105" s="40"/>
      <c r="Q105" s="27"/>
      <c r="R105" s="40"/>
      <c r="S105" s="27"/>
      <c r="T105" s="27"/>
      <c r="U105" s="40"/>
      <c r="V105" s="40"/>
      <c r="W105" s="40"/>
      <c r="X105" s="27"/>
      <c r="Y105" s="40"/>
      <c r="Z105" s="39"/>
      <c r="AA105" s="40"/>
      <c r="AB105" s="40"/>
      <c r="AC105" s="40"/>
      <c r="AD105" s="40"/>
      <c r="AE105" s="27"/>
      <c r="AF105" s="205" t="str">
        <f t="shared" ca="1" si="34"/>
        <v/>
      </c>
      <c r="AG105" s="218"/>
      <c r="AH105" s="238">
        <f t="shared" si="35"/>
        <v>0</v>
      </c>
      <c r="AI105" s="261"/>
      <c r="AJ105" s="224"/>
      <c r="AK105" s="245">
        <f ca="1">IF(EB.Anwendung&lt;&gt;"",IF(MONTH(Monat.Tag1)=1,0,IF(MONTH(Monat.Tag1)=2,January!Monat.P9UeVM,IF(MONTH(Monat.Tag1)=3,February!Monat.P9UeVM,IF(MONTH(Monat.Tag1)=4,March!Monat.P9UeVM,IF(MONTH(Monat.Tag1)=5,April!Monat.P9UeVM,IF(MONTH(Monat.Tag1)=6,May!Monat.P9UeVM,IF(MONTH(Monat.Tag1)=7,June!Monat.P9UeVM,IF(MONTH(Monat.Tag1)=8,July!Monat.P9UeVM,IF(MONTH(Monat.Tag1)=9,August!Monat.P9UeVM,IF(MONTH(Monat.Tag1)=10,September!Monat.P9UeVM,IF(MONTH(Monat.Tag1)=11,October!Monat.P9UeVM,IF(MONTH(Monat.Tag1)=12,November!Monat.P9UeVM,"")))))))))))),"")</f>
        <v>0</v>
      </c>
      <c r="AL105" s="209"/>
      <c r="AM105" s="246">
        <f t="shared" ca="1" si="36"/>
        <v>0</v>
      </c>
      <c r="AN105" s="208"/>
      <c r="AO105" s="208"/>
      <c r="AP105" s="119"/>
    </row>
    <row r="106" spans="1:42" s="38" customFormat="1" ht="15" hidden="1" customHeight="1" outlineLevel="1" x14ac:dyDescent="0.2">
      <c r="A106" s="215" t="str">
        <f t="shared" ca="1" si="33"/>
        <v/>
      </c>
      <c r="B106" s="40"/>
      <c r="C106" s="40"/>
      <c r="D106" s="40"/>
      <c r="E106" s="27"/>
      <c r="F106" s="40"/>
      <c r="G106" s="40"/>
      <c r="H106" s="40"/>
      <c r="I106" s="40"/>
      <c r="J106" s="27"/>
      <c r="K106" s="40"/>
      <c r="L106" s="27"/>
      <c r="M106" s="40"/>
      <c r="N106" s="40"/>
      <c r="O106" s="40"/>
      <c r="P106" s="40"/>
      <c r="Q106" s="27"/>
      <c r="R106" s="40"/>
      <c r="S106" s="27"/>
      <c r="T106" s="27"/>
      <c r="U106" s="40"/>
      <c r="V106" s="40"/>
      <c r="W106" s="40"/>
      <c r="X106" s="27"/>
      <c r="Y106" s="40"/>
      <c r="Z106" s="39"/>
      <c r="AA106" s="40"/>
      <c r="AB106" s="40"/>
      <c r="AC106" s="40"/>
      <c r="AD106" s="40"/>
      <c r="AE106" s="27"/>
      <c r="AF106" s="205" t="str">
        <f t="shared" ca="1" si="34"/>
        <v/>
      </c>
      <c r="AG106" s="218"/>
      <c r="AH106" s="238">
        <f t="shared" si="35"/>
        <v>0</v>
      </c>
      <c r="AI106" s="261"/>
      <c r="AJ106" s="224"/>
      <c r="AK106" s="245">
        <f ca="1">IF(EB.Anwendung&lt;&gt;"",IF(MONTH(Monat.Tag1)=1,0,IF(MONTH(Monat.Tag1)=2,January!Monat.P10UeVM,IF(MONTH(Monat.Tag1)=3,February!Monat.P10UeVM,IF(MONTH(Monat.Tag1)=4,March!Monat.P10UeVM,IF(MONTH(Monat.Tag1)=5,April!Monat.P10UeVM,IF(MONTH(Monat.Tag1)=6,May!Monat.P10UeVM,IF(MONTH(Monat.Tag1)=7,June!Monat.P10UeVM,IF(MONTH(Monat.Tag1)=8,July!Monat.P10UeVM,IF(MONTH(Monat.Tag1)=9,August!Monat.P10UeVM,IF(MONTH(Monat.Tag1)=10,September!Monat.P10UeVM,IF(MONTH(Monat.Tag1)=11,October!Monat.P10UeVM,IF(MONTH(Monat.Tag1)=12,November!Monat.P10UeVM,"")))))))))))),"")</f>
        <v>0</v>
      </c>
      <c r="AL106" s="209"/>
      <c r="AM106" s="246">
        <f t="shared" ca="1" si="36"/>
        <v>0</v>
      </c>
      <c r="AN106" s="208"/>
      <c r="AO106" s="208"/>
      <c r="AP106" s="119"/>
    </row>
    <row r="107" spans="1:42" s="38" customFormat="1" ht="15" hidden="1" customHeight="1" outlineLevel="1" x14ac:dyDescent="0.2">
      <c r="A107" s="215" t="str">
        <f t="shared" ca="1" si="33"/>
        <v/>
      </c>
      <c r="B107" s="40"/>
      <c r="C107" s="40"/>
      <c r="D107" s="40"/>
      <c r="E107" s="27"/>
      <c r="F107" s="40"/>
      <c r="G107" s="40"/>
      <c r="H107" s="40"/>
      <c r="I107" s="40"/>
      <c r="J107" s="27"/>
      <c r="K107" s="40"/>
      <c r="L107" s="27"/>
      <c r="M107" s="40"/>
      <c r="N107" s="40"/>
      <c r="O107" s="40"/>
      <c r="P107" s="40"/>
      <c r="Q107" s="27"/>
      <c r="R107" s="40"/>
      <c r="S107" s="27"/>
      <c r="T107" s="27"/>
      <c r="U107" s="40"/>
      <c r="V107" s="40"/>
      <c r="W107" s="40"/>
      <c r="X107" s="27"/>
      <c r="Y107" s="40"/>
      <c r="Z107" s="39"/>
      <c r="AA107" s="40"/>
      <c r="AB107" s="40"/>
      <c r="AC107" s="40"/>
      <c r="AD107" s="40"/>
      <c r="AE107" s="27"/>
      <c r="AF107" s="205" t="str">
        <f t="shared" ca="1" si="34"/>
        <v/>
      </c>
      <c r="AG107" s="233"/>
      <c r="AH107" s="238">
        <f t="shared" si="35"/>
        <v>0</v>
      </c>
      <c r="AI107" s="261"/>
      <c r="AJ107" s="224"/>
      <c r="AK107" s="245">
        <f ca="1">IF(EB.Anwendung&lt;&gt;"",IF(MONTH(Monat.Tag1)=1,0,IF(MONTH(Monat.Tag1)=2,January!Monat.P11UeVM,IF(MONTH(Monat.Tag1)=3,February!Monat.P11UeVM,IF(MONTH(Monat.Tag1)=4,March!Monat.P11UeVM,IF(MONTH(Monat.Tag1)=5,April!Monat.P11UeVM,IF(MONTH(Monat.Tag1)=6,May!Monat.P11UeVM,IF(MONTH(Monat.Tag1)=7,June!Monat.P11UeVM,IF(MONTH(Monat.Tag1)=8,July!Monat.P11UeVM,IF(MONTH(Monat.Tag1)=9,August!Monat.P11UeVM,IF(MONTH(Monat.Tag1)=10,September!Monat.P11UeVM,IF(MONTH(Monat.Tag1)=11,October!Monat.P11UeVM,IF(MONTH(Monat.Tag1)=12,November!Monat.P11UeVM,"")))))))))))),"")</f>
        <v>0</v>
      </c>
      <c r="AL107" s="209"/>
      <c r="AM107" s="246">
        <f t="shared" ca="1" si="36"/>
        <v>0</v>
      </c>
      <c r="AN107" s="287"/>
      <c r="AO107" s="287"/>
      <c r="AP107" s="119"/>
    </row>
    <row r="108" spans="1:42" s="49" customFormat="1" ht="15" hidden="1" customHeight="1" outlineLevel="1" x14ac:dyDescent="0.2">
      <c r="A108" s="215" t="str">
        <f t="shared" ca="1" si="33"/>
        <v/>
      </c>
      <c r="B108" s="40"/>
      <c r="C108" s="40"/>
      <c r="D108" s="40"/>
      <c r="E108" s="27"/>
      <c r="F108" s="40"/>
      <c r="G108" s="40"/>
      <c r="H108" s="40"/>
      <c r="I108" s="40"/>
      <c r="J108" s="27"/>
      <c r="K108" s="40"/>
      <c r="L108" s="27"/>
      <c r="M108" s="40"/>
      <c r="N108" s="40"/>
      <c r="O108" s="40"/>
      <c r="P108" s="40"/>
      <c r="Q108" s="27"/>
      <c r="R108" s="40"/>
      <c r="S108" s="27"/>
      <c r="T108" s="27"/>
      <c r="U108" s="40"/>
      <c r="V108" s="40"/>
      <c r="W108" s="40"/>
      <c r="X108" s="27"/>
      <c r="Y108" s="40"/>
      <c r="Z108" s="39"/>
      <c r="AA108" s="40"/>
      <c r="AB108" s="40"/>
      <c r="AC108" s="40"/>
      <c r="AD108" s="40"/>
      <c r="AE108" s="27"/>
      <c r="AF108" s="205" t="str">
        <f t="shared" ca="1" si="34"/>
        <v/>
      </c>
      <c r="AG108" s="233"/>
      <c r="AH108" s="238">
        <f t="shared" si="35"/>
        <v>0</v>
      </c>
      <c r="AI108" s="261"/>
      <c r="AJ108" s="224"/>
      <c r="AK108" s="245">
        <f ca="1">IF(EB.Anwendung&lt;&gt;"",IF(MONTH(Monat.Tag1)=1,0,IF(MONTH(Monat.Tag1)=2,January!Monat.P12UeVM,IF(MONTH(Monat.Tag1)=3,February!Monat.P12UeVM,IF(MONTH(Monat.Tag1)=4,March!Monat.P12UeVM,IF(MONTH(Monat.Tag1)=5,April!Monat.P12UeVM,IF(MONTH(Monat.Tag1)=6,May!Monat.P12UeVM,IF(MONTH(Monat.Tag1)=7,June!Monat.P12UeVM,IF(MONTH(Monat.Tag1)=8,July!Monat.P12UeVM,IF(MONTH(Monat.Tag1)=9,August!Monat.P12UeVM,IF(MONTH(Monat.Tag1)=10,September!Monat.P12UeVM,IF(MONTH(Monat.Tag1)=11,October!Monat.P12UeVM,IF(MONTH(Monat.Tag1)=12,November!Monat.P12UeVM,"")))))))))))),"")</f>
        <v>0</v>
      </c>
      <c r="AL108" s="209"/>
      <c r="AM108" s="246">
        <f t="shared" ca="1" si="36"/>
        <v>0</v>
      </c>
      <c r="AN108" s="287"/>
      <c r="AO108" s="287"/>
      <c r="AP108" s="288"/>
    </row>
    <row r="109" spans="1:42" s="49" customFormat="1" ht="15" hidden="1" customHeight="1" outlineLevel="1" x14ac:dyDescent="0.2">
      <c r="A109" s="215" t="str">
        <f t="shared" ca="1" si="33"/>
        <v/>
      </c>
      <c r="B109" s="40"/>
      <c r="C109" s="40"/>
      <c r="D109" s="40"/>
      <c r="E109" s="27"/>
      <c r="F109" s="40"/>
      <c r="G109" s="40"/>
      <c r="H109" s="40"/>
      <c r="I109" s="40"/>
      <c r="J109" s="27"/>
      <c r="K109" s="40"/>
      <c r="L109" s="27"/>
      <c r="M109" s="40"/>
      <c r="N109" s="40"/>
      <c r="O109" s="40"/>
      <c r="P109" s="40"/>
      <c r="Q109" s="27"/>
      <c r="R109" s="40"/>
      <c r="S109" s="27"/>
      <c r="T109" s="27"/>
      <c r="U109" s="40"/>
      <c r="V109" s="40"/>
      <c r="W109" s="40"/>
      <c r="X109" s="27"/>
      <c r="Y109" s="40"/>
      <c r="Z109" s="39"/>
      <c r="AA109" s="40"/>
      <c r="AB109" s="40"/>
      <c r="AC109" s="40"/>
      <c r="AD109" s="40"/>
      <c r="AE109" s="27"/>
      <c r="AF109" s="205" t="str">
        <f t="shared" ca="1" si="34"/>
        <v/>
      </c>
      <c r="AG109" s="218"/>
      <c r="AH109" s="238">
        <f t="shared" si="35"/>
        <v>0</v>
      </c>
      <c r="AI109" s="261"/>
      <c r="AJ109" s="224"/>
      <c r="AK109" s="245">
        <f ca="1">IF(EB.Anwendung&lt;&gt;"",IF(MONTH(Monat.Tag1)=1,0,IF(MONTH(Monat.Tag1)=2,January!Monat.P13UeVM,IF(MONTH(Monat.Tag1)=3,February!Monat.P13UeVM,IF(MONTH(Monat.Tag1)=4,March!Monat.P13UeVM,IF(MONTH(Monat.Tag1)=5,April!Monat.P13UeVM,IF(MONTH(Monat.Tag1)=6,May!Monat.P13UeVM,IF(MONTH(Monat.Tag1)=7,June!Monat.P13UeVM,IF(MONTH(Monat.Tag1)=8,July!Monat.P13UeVM,IF(MONTH(Monat.Tag1)=9,August!Monat.P13UeVM,IF(MONTH(Monat.Tag1)=10,September!Monat.P13UeVM,IF(MONTH(Monat.Tag1)=11,October!Monat.P13UeVM,IF(MONTH(Monat.Tag1)=12,November!Monat.P13UeVM,"")))))))))))),"")</f>
        <v>0</v>
      </c>
      <c r="AL109" s="209"/>
      <c r="AM109" s="246">
        <f t="shared" ca="1" si="36"/>
        <v>0</v>
      </c>
      <c r="AN109" s="287"/>
      <c r="AO109" s="287"/>
      <c r="AP109" s="288"/>
    </row>
    <row r="110" spans="1:42" ht="15" hidden="1" customHeight="1" outlineLevel="1" x14ac:dyDescent="0.2">
      <c r="A110" s="215" t="str">
        <f t="shared" ca="1" si="33"/>
        <v/>
      </c>
      <c r="B110" s="40"/>
      <c r="C110" s="40"/>
      <c r="D110" s="40"/>
      <c r="E110" s="27"/>
      <c r="F110" s="40"/>
      <c r="G110" s="40"/>
      <c r="H110" s="40"/>
      <c r="I110" s="40"/>
      <c r="J110" s="27"/>
      <c r="K110" s="40"/>
      <c r="L110" s="27"/>
      <c r="M110" s="40"/>
      <c r="N110" s="40"/>
      <c r="O110" s="40"/>
      <c r="P110" s="40"/>
      <c r="Q110" s="27"/>
      <c r="R110" s="40"/>
      <c r="S110" s="27"/>
      <c r="T110" s="27"/>
      <c r="U110" s="40"/>
      <c r="V110" s="40"/>
      <c r="W110" s="40"/>
      <c r="X110" s="27"/>
      <c r="Y110" s="40"/>
      <c r="Z110" s="39"/>
      <c r="AA110" s="40"/>
      <c r="AB110" s="40"/>
      <c r="AC110" s="40"/>
      <c r="AD110" s="40"/>
      <c r="AE110" s="27"/>
      <c r="AF110" s="205" t="str">
        <f t="shared" ca="1" si="34"/>
        <v/>
      </c>
      <c r="AG110" s="218"/>
      <c r="AH110" s="238">
        <f t="shared" si="35"/>
        <v>0</v>
      </c>
      <c r="AI110" s="261"/>
      <c r="AJ110" s="224"/>
      <c r="AK110" s="245">
        <f ca="1">IF(EB.Anwendung&lt;&gt;"",IF(MONTH(Monat.Tag1)=1,0,IF(MONTH(Monat.Tag1)=2,January!Monat.P14UeVM,IF(MONTH(Monat.Tag1)=3,February!Monat.P14UeVM,IF(MONTH(Monat.Tag1)=4,March!Monat.P14UeVM,IF(MONTH(Monat.Tag1)=5,April!Monat.P14UeVM,IF(MONTH(Monat.Tag1)=6,May!Monat.P14UeVM,IF(MONTH(Monat.Tag1)=7,June!Monat.P14UeVM,IF(MONTH(Monat.Tag1)=8,July!Monat.P14UeVM,IF(MONTH(Monat.Tag1)=9,August!Monat.P14UeVM,IF(MONTH(Monat.Tag1)=10,September!Monat.P14UeVM,IF(MONTH(Monat.Tag1)=11,October!Monat.P14UeVM,IF(MONTH(Monat.Tag1)=12,November!Monat.P14UeVM,"")))))))))))),"")</f>
        <v>0</v>
      </c>
      <c r="AL110" s="209"/>
      <c r="AM110" s="246">
        <f t="shared" ca="1" si="36"/>
        <v>0</v>
      </c>
      <c r="AN110" s="287"/>
      <c r="AO110" s="287"/>
      <c r="AP110" s="123"/>
    </row>
    <row r="111" spans="1:42" ht="15" hidden="1" customHeight="1" outlineLevel="1" x14ac:dyDescent="0.2">
      <c r="A111" s="215" t="str">
        <f t="shared" ca="1" si="33"/>
        <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7"/>
      <c r="AA111" s="40"/>
      <c r="AB111" s="40"/>
      <c r="AC111" s="40"/>
      <c r="AD111" s="40"/>
      <c r="AE111" s="40"/>
      <c r="AF111" s="205" t="str">
        <f t="shared" ca="1" si="34"/>
        <v/>
      </c>
      <c r="AG111" s="218"/>
      <c r="AH111" s="238">
        <f t="shared" si="35"/>
        <v>0</v>
      </c>
      <c r="AI111" s="261"/>
      <c r="AJ111" s="224"/>
      <c r="AK111" s="245">
        <f ca="1">IF(EB.Anwendung&lt;&gt;"",IF(MONTH(Monat.Tag1)=1,0,IF(MONTH(Monat.Tag1)=2,January!Monat.P15UeVM,IF(MONTH(Monat.Tag1)=3,February!Monat.P15UeVM,IF(MONTH(Monat.Tag1)=4,March!Monat.P15UeVM,IF(MONTH(Monat.Tag1)=5,April!Monat.P15UeVM,IF(MONTH(Monat.Tag1)=6,May!Monat.P15UeVM,IF(MONTH(Monat.Tag1)=7,June!Monat.P15UeVM,IF(MONTH(Monat.Tag1)=8,July!Monat.P15UeVM,IF(MONTH(Monat.Tag1)=9,August!Monat.P15UeVM,IF(MONTH(Monat.Tag1)=10,September!Monat.P15UeVM,IF(MONTH(Monat.Tag1)=11,October!Monat.P15UeVM,IF(MONTH(Monat.Tag1)=12,November!Monat.P15UeVM,"")))))))))))),"")</f>
        <v>0</v>
      </c>
      <c r="AL111" s="209"/>
      <c r="AM111" s="246">
        <f t="shared" ca="1" si="36"/>
        <v>0</v>
      </c>
      <c r="AN111" s="287"/>
      <c r="AO111" s="287"/>
      <c r="AP111" s="123"/>
    </row>
    <row r="112" spans="1:42" ht="15" customHeight="1" collapsed="1" x14ac:dyDescent="0.2">
      <c r="A112" s="215" t="s">
        <v>168</v>
      </c>
      <c r="B112" s="236">
        <f>SUM(B97:B111)</f>
        <v>0</v>
      </c>
      <c r="C112" s="236">
        <f t="shared" ref="C112:AE112" si="37">SUM(C97:C111)</f>
        <v>0</v>
      </c>
      <c r="D112" s="236">
        <f t="shared" si="37"/>
        <v>0</v>
      </c>
      <c r="E112" s="236">
        <f t="shared" si="37"/>
        <v>0</v>
      </c>
      <c r="F112" s="236">
        <f t="shared" si="37"/>
        <v>0</v>
      </c>
      <c r="G112" s="236">
        <f t="shared" si="37"/>
        <v>0</v>
      </c>
      <c r="H112" s="236">
        <f t="shared" si="37"/>
        <v>0</v>
      </c>
      <c r="I112" s="236">
        <f t="shared" si="37"/>
        <v>0</v>
      </c>
      <c r="J112" s="236">
        <f t="shared" si="37"/>
        <v>0</v>
      </c>
      <c r="K112" s="236">
        <f t="shared" si="37"/>
        <v>0</v>
      </c>
      <c r="L112" s="236">
        <f t="shared" si="37"/>
        <v>0</v>
      </c>
      <c r="M112" s="236">
        <f t="shared" si="37"/>
        <v>0</v>
      </c>
      <c r="N112" s="236">
        <f t="shared" si="37"/>
        <v>0</v>
      </c>
      <c r="O112" s="236">
        <f t="shared" si="37"/>
        <v>0</v>
      </c>
      <c r="P112" s="236">
        <f t="shared" si="37"/>
        <v>0</v>
      </c>
      <c r="Q112" s="236">
        <f t="shared" si="37"/>
        <v>0</v>
      </c>
      <c r="R112" s="236">
        <f t="shared" si="37"/>
        <v>0</v>
      </c>
      <c r="S112" s="236">
        <f t="shared" si="37"/>
        <v>0</v>
      </c>
      <c r="T112" s="236">
        <f t="shared" si="37"/>
        <v>0</v>
      </c>
      <c r="U112" s="236">
        <f t="shared" si="37"/>
        <v>0</v>
      </c>
      <c r="V112" s="236">
        <f t="shared" si="37"/>
        <v>0</v>
      </c>
      <c r="W112" s="236">
        <f t="shared" si="37"/>
        <v>0</v>
      </c>
      <c r="X112" s="236">
        <f t="shared" si="37"/>
        <v>0</v>
      </c>
      <c r="Y112" s="236">
        <f t="shared" si="37"/>
        <v>0</v>
      </c>
      <c r="Z112" s="236">
        <f t="shared" si="37"/>
        <v>0</v>
      </c>
      <c r="AA112" s="236">
        <f t="shared" si="37"/>
        <v>0</v>
      </c>
      <c r="AB112" s="236">
        <f t="shared" si="37"/>
        <v>0</v>
      </c>
      <c r="AC112" s="236">
        <f t="shared" si="37"/>
        <v>0</v>
      </c>
      <c r="AD112" s="236">
        <f t="shared" si="37"/>
        <v>0</v>
      </c>
      <c r="AE112" s="236">
        <f t="shared" si="37"/>
        <v>0</v>
      </c>
      <c r="AF112" s="217" t="str">
        <f t="shared" si="34"/>
        <v>Hours worked for projects</v>
      </c>
      <c r="AG112" s="218"/>
      <c r="AH112" s="238">
        <f t="shared" si="35"/>
        <v>0</v>
      </c>
      <c r="AI112" s="261"/>
      <c r="AJ112" s="224"/>
      <c r="AK112" s="245">
        <f ca="1">IF(EB.Anwendung&lt;&gt;"",IF(MONTH(Monat.Tag1)=1,0,IF(MONTH(Monat.Tag1)=2,January!Monat.PTotalUeVM,IF(MONTH(Monat.Tag1)=3,February!Monat.PTotalUeVM,IF(MONTH(Monat.Tag1)=4,March!Monat.PTotalUeVM,IF(MONTH(Monat.Tag1)=5,April!Monat.PTotalUeVM,IF(MONTH(Monat.Tag1)=6,May!Monat.PTotalUeVM,IF(MONTH(Monat.Tag1)=7,June!Monat.PTotalUeVM,IF(MONTH(Monat.Tag1)=8,July!Monat.PTotalUeVM,IF(MONTH(Monat.Tag1)=9,August!Monat.PTotalUeVM,IF(MONTH(Monat.Tag1)=10,September!Monat.PTotalUeVM,IF(MONTH(Monat.Tag1)=11,October!Monat.PTotalUeVM,IF(MONTH(Monat.Tag1)=12,November!Monat.PTotalUeVM,"")))))))))))),"")</f>
        <v>0</v>
      </c>
      <c r="AL112" s="209"/>
      <c r="AM112" s="246">
        <f t="shared" ca="1" si="36"/>
        <v>0</v>
      </c>
      <c r="AN112" s="289"/>
      <c r="AO112" s="289"/>
      <c r="AP112" s="123"/>
    </row>
    <row r="113" spans="1:42" s="38" customFormat="1" ht="11.25" customHeight="1" x14ac:dyDescent="0.2">
      <c r="A113" s="290"/>
      <c r="B113" s="226"/>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91"/>
      <c r="AG113" s="286"/>
      <c r="AH113" s="226"/>
      <c r="AI113" s="292"/>
      <c r="AJ113" s="226"/>
      <c r="AK113" s="226"/>
      <c r="AL113" s="226"/>
      <c r="AM113" s="130"/>
      <c r="AN113" s="226"/>
      <c r="AO113" s="226"/>
      <c r="AP113" s="119"/>
    </row>
    <row r="114" spans="1:42" s="38" customFormat="1" ht="15" hidden="1" customHeight="1" outlineLevel="1" x14ac:dyDescent="0.2">
      <c r="A114" s="215" t="s">
        <v>225</v>
      </c>
      <c r="B114" s="241">
        <f t="shared" ref="B114:AE114" si="38">ROUND(((B23+B45+B91)-SUMPRODUCT((B97:B111)*(EB.Projektart.Bereich=6)))*1440,0)/1440</f>
        <v>0</v>
      </c>
      <c r="C114" s="241">
        <f t="shared" si="38"/>
        <v>0</v>
      </c>
      <c r="D114" s="241">
        <f t="shared" si="38"/>
        <v>0</v>
      </c>
      <c r="E114" s="241">
        <f t="shared" si="38"/>
        <v>0</v>
      </c>
      <c r="F114" s="241">
        <f t="shared" si="38"/>
        <v>0</v>
      </c>
      <c r="G114" s="241">
        <f t="shared" si="38"/>
        <v>0</v>
      </c>
      <c r="H114" s="241">
        <f t="shared" si="38"/>
        <v>0</v>
      </c>
      <c r="I114" s="241">
        <f t="shared" si="38"/>
        <v>0</v>
      </c>
      <c r="J114" s="241">
        <f t="shared" si="38"/>
        <v>0</v>
      </c>
      <c r="K114" s="241">
        <f t="shared" si="38"/>
        <v>0</v>
      </c>
      <c r="L114" s="241">
        <f t="shared" si="38"/>
        <v>0</v>
      </c>
      <c r="M114" s="241">
        <f t="shared" si="38"/>
        <v>0</v>
      </c>
      <c r="N114" s="241">
        <f t="shared" si="38"/>
        <v>0</v>
      </c>
      <c r="O114" s="241">
        <f t="shared" si="38"/>
        <v>0</v>
      </c>
      <c r="P114" s="241">
        <f t="shared" si="38"/>
        <v>0</v>
      </c>
      <c r="Q114" s="241">
        <f t="shared" si="38"/>
        <v>0</v>
      </c>
      <c r="R114" s="241">
        <f t="shared" si="38"/>
        <v>0</v>
      </c>
      <c r="S114" s="241">
        <f t="shared" si="38"/>
        <v>0</v>
      </c>
      <c r="T114" s="241">
        <f t="shared" si="38"/>
        <v>0</v>
      </c>
      <c r="U114" s="241">
        <f t="shared" si="38"/>
        <v>0</v>
      </c>
      <c r="V114" s="241">
        <f t="shared" si="38"/>
        <v>0</v>
      </c>
      <c r="W114" s="241">
        <f t="shared" si="38"/>
        <v>0</v>
      </c>
      <c r="X114" s="241">
        <f t="shared" si="38"/>
        <v>0</v>
      </c>
      <c r="Y114" s="241">
        <f t="shared" si="38"/>
        <v>0</v>
      </c>
      <c r="Z114" s="241">
        <f t="shared" si="38"/>
        <v>0</v>
      </c>
      <c r="AA114" s="241">
        <f t="shared" si="38"/>
        <v>0</v>
      </c>
      <c r="AB114" s="241">
        <f t="shared" si="38"/>
        <v>0</v>
      </c>
      <c r="AC114" s="241">
        <f t="shared" si="38"/>
        <v>0</v>
      </c>
      <c r="AD114" s="241">
        <f t="shared" si="38"/>
        <v>0</v>
      </c>
      <c r="AE114" s="241">
        <f t="shared" si="38"/>
        <v>0</v>
      </c>
      <c r="AF114" s="217" t="str">
        <f t="shared" ref="AF114" si="39">A114</f>
        <v>Difference WH-Project type 6</v>
      </c>
      <c r="AG114" s="228"/>
      <c r="AH114" s="238">
        <f>SUM(B114:AE114)</f>
        <v>0</v>
      </c>
      <c r="AI114" s="261"/>
      <c r="AJ114" s="262"/>
      <c r="AK114" s="245">
        <f ca="1">IF(EB.Anwendung&lt;&gt;"",IF(MONTH(Monat.Tag1)=1,0,IF(MONTH(Monat.Tag1)=2,January!Monat.PDiffUeVM,IF(MONTH(Monat.Tag1)=3,February!Monat.PDiffUeVM,IF(MONTH(Monat.Tag1)=4,March!Monat.PDiffUeVM,IF(MONTH(Monat.Tag1)=5,April!Monat.PDiffUeVM,IF(MONTH(Monat.Tag1)=6,May!Monat.PDiffUeVM,IF(MONTH(Monat.Tag1)=7,June!Monat.PDiffUeVM,IF(MONTH(Monat.Tag1)=8,July!Monat.PDiffUeVM,IF(MONTH(Monat.Tag1)=9,August!Monat.PDiffUeVM,IF(MONTH(Monat.Tag1)=10,September!Monat.PDiffUeVM,IF(MONTH(Monat.Tag1)=11,October!Monat.PDiffUeVM,IF(MONTH(Monat.Tag1)=12,November!Monat.PDiffUeVM,"")))))))))))),"")</f>
        <v>0</v>
      </c>
      <c r="AL114" s="262"/>
      <c r="AM114" s="246">
        <f ca="1">AH114+AK114</f>
        <v>0</v>
      </c>
      <c r="AN114" s="262"/>
      <c r="AO114" s="262"/>
      <c r="AP114" s="119"/>
    </row>
    <row r="115" spans="1:42" ht="11.25" hidden="1" customHeight="1" outlineLevel="1" x14ac:dyDescent="0.2">
      <c r="A115" s="123"/>
      <c r="B115" s="293"/>
      <c r="C115" s="293"/>
      <c r="D115" s="293"/>
      <c r="E115" s="293"/>
      <c r="F115" s="293"/>
      <c r="G115" s="293"/>
      <c r="H115" s="293"/>
      <c r="I115" s="293"/>
      <c r="J115" s="294"/>
      <c r="K115" s="293"/>
      <c r="L115" s="293"/>
      <c r="M115" s="293"/>
      <c r="N115" s="293"/>
      <c r="O115" s="293"/>
      <c r="P115" s="293"/>
      <c r="Q115" s="293"/>
      <c r="R115" s="293"/>
      <c r="S115" s="293"/>
      <c r="T115" s="293"/>
      <c r="U115" s="293"/>
      <c r="V115" s="293"/>
      <c r="W115" s="293"/>
      <c r="X115" s="293"/>
      <c r="Y115" s="293"/>
      <c r="Z115" s="293"/>
      <c r="AA115" s="293"/>
      <c r="AB115" s="293"/>
      <c r="AC115" s="293"/>
      <c r="AD115" s="293"/>
      <c r="AE115" s="293"/>
      <c r="AF115" s="295"/>
      <c r="AG115" s="296"/>
      <c r="AH115" s="123"/>
      <c r="AI115" s="123"/>
      <c r="AJ115" s="123"/>
      <c r="AK115" s="123"/>
      <c r="AL115" s="123"/>
      <c r="AM115" s="297"/>
      <c r="AN115" s="123"/>
      <c r="AO115" s="123"/>
      <c r="AP115" s="123"/>
    </row>
    <row r="116" spans="1:42" ht="11.25" customHeight="1" collapsed="1" x14ac:dyDescent="0.2">
      <c r="A116" s="123"/>
      <c r="B116" s="293"/>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293"/>
      <c r="AA116" s="293"/>
      <c r="AB116" s="293"/>
      <c r="AC116" s="293"/>
      <c r="AD116" s="293"/>
      <c r="AE116" s="293"/>
      <c r="AF116" s="295"/>
      <c r="AG116" s="296"/>
      <c r="AH116" s="123"/>
      <c r="AI116" s="123"/>
      <c r="AJ116" s="123"/>
      <c r="AK116" s="123"/>
      <c r="AL116" s="123"/>
      <c r="AM116" s="297"/>
      <c r="AN116" s="123"/>
      <c r="AO116" s="123"/>
      <c r="AP116" s="123"/>
    </row>
    <row r="117" spans="1:42" ht="12" customHeight="1" x14ac:dyDescent="0.2">
      <c r="A117" s="123"/>
      <c r="B117" s="490" t="s">
        <v>226</v>
      </c>
      <c r="C117" s="490"/>
      <c r="D117" s="490"/>
      <c r="E117" s="490"/>
      <c r="F117" s="490"/>
      <c r="G117" s="490"/>
      <c r="H117" s="490"/>
      <c r="I117" s="490"/>
      <c r="J117" s="490"/>
      <c r="K117" s="490"/>
      <c r="L117" s="490"/>
      <c r="M117" s="490"/>
      <c r="N117" s="490"/>
      <c r="O117" s="490"/>
      <c r="P117" s="490"/>
      <c r="Q117" s="490"/>
      <c r="R117" s="298"/>
      <c r="S117" s="298"/>
      <c r="T117" s="298"/>
      <c r="U117" s="298"/>
      <c r="V117" s="298"/>
      <c r="W117" s="298"/>
      <c r="X117" s="298"/>
      <c r="Y117" s="298"/>
      <c r="Z117" s="298"/>
      <c r="AA117" s="298"/>
      <c r="AB117" s="298"/>
      <c r="AC117" s="298"/>
      <c r="AD117" s="298"/>
      <c r="AE117" s="298"/>
      <c r="AF117" s="299"/>
      <c r="AG117" s="300"/>
      <c r="AH117" s="298"/>
      <c r="AI117" s="298"/>
      <c r="AJ117" s="298"/>
      <c r="AK117" s="298"/>
      <c r="AL117" s="298"/>
      <c r="AM117" s="301"/>
      <c r="AN117" s="288"/>
      <c r="AO117" s="288"/>
      <c r="AP117" s="123"/>
    </row>
    <row r="118" spans="1:42" ht="11.25" customHeight="1" x14ac:dyDescent="0.2">
      <c r="A118" s="302"/>
      <c r="B118" s="302"/>
      <c r="C118" s="302"/>
      <c r="D118" s="302"/>
      <c r="E118" s="302"/>
      <c r="F118" s="302"/>
      <c r="G118" s="302"/>
      <c r="H118" s="302"/>
      <c r="I118" s="302"/>
      <c r="J118" s="302"/>
      <c r="K118" s="302"/>
      <c r="L118" s="302"/>
      <c r="M118" s="298"/>
      <c r="N118" s="298"/>
      <c r="O118" s="298"/>
      <c r="P118" s="298"/>
      <c r="Q118" s="298"/>
      <c r="R118" s="298"/>
      <c r="S118" s="298"/>
      <c r="T118" s="298"/>
      <c r="U118" s="298"/>
      <c r="V118" s="298"/>
      <c r="W118" s="298"/>
      <c r="X118" s="298"/>
      <c r="Y118" s="298"/>
      <c r="Z118" s="298"/>
      <c r="AA118" s="298"/>
      <c r="AB118" s="298"/>
      <c r="AC118" s="298"/>
      <c r="AD118" s="298"/>
      <c r="AE118" s="298"/>
      <c r="AF118" s="298"/>
      <c r="AG118" s="298"/>
      <c r="AH118" s="298"/>
      <c r="AI118" s="298"/>
      <c r="AJ118" s="298"/>
      <c r="AK118" s="298"/>
      <c r="AL118" s="298"/>
      <c r="AM118" s="298"/>
      <c r="AN118" s="298"/>
      <c r="AO118" s="298"/>
      <c r="AP118" s="123"/>
    </row>
    <row r="119" spans="1:42" ht="39" customHeight="1" x14ac:dyDescent="0.2">
      <c r="A119" s="135" t="s">
        <v>227</v>
      </c>
      <c r="B119" s="491"/>
      <c r="C119" s="491"/>
      <c r="D119" s="491"/>
      <c r="E119" s="491"/>
      <c r="F119" s="491"/>
      <c r="G119" s="491"/>
      <c r="H119" s="491"/>
      <c r="I119" s="491"/>
      <c r="J119" s="491"/>
      <c r="K119" s="491"/>
      <c r="L119" s="491"/>
      <c r="M119" s="491"/>
      <c r="N119" s="491"/>
      <c r="O119" s="491"/>
      <c r="P119" s="491"/>
      <c r="Q119" s="491"/>
      <c r="R119" s="298"/>
      <c r="S119" s="298"/>
      <c r="T119" s="298"/>
      <c r="U119" s="298"/>
      <c r="V119" s="298"/>
      <c r="W119" s="298"/>
      <c r="X119" s="298"/>
      <c r="Y119" s="492"/>
      <c r="Z119" s="492"/>
      <c r="AA119" s="492"/>
      <c r="AB119" s="492"/>
      <c r="AC119" s="492"/>
      <c r="AD119" s="492"/>
      <c r="AE119" s="492"/>
      <c r="AF119" s="494" t="str">
        <f ca="1">IF(AF67&lt;&gt;Monat.KomAZText,AF67 &amp; CHAR(10),"") &amp;
IF(AF84&lt;&gt;Monat.FerienText,AF84,"")</f>
        <v/>
      </c>
      <c r="AG119" s="494"/>
      <c r="AH119" s="494"/>
      <c r="AI119" s="494"/>
      <c r="AJ119" s="494"/>
      <c r="AK119" s="494"/>
      <c r="AL119" s="494"/>
      <c r="AM119" s="494"/>
      <c r="AN119" s="494"/>
      <c r="AO119" s="494"/>
      <c r="AP119" s="123"/>
    </row>
    <row r="120" spans="1:42" ht="12" customHeight="1" x14ac:dyDescent="0.2">
      <c r="A120" s="442" t="s">
        <v>228</v>
      </c>
      <c r="B120" s="495"/>
      <c r="C120" s="495"/>
      <c r="D120" s="495"/>
      <c r="E120" s="495"/>
      <c r="F120" s="495"/>
      <c r="G120" s="495"/>
      <c r="H120" s="495"/>
      <c r="I120" s="495"/>
      <c r="J120" s="495"/>
      <c r="K120" s="495"/>
      <c r="L120" s="495"/>
      <c r="M120" s="495"/>
      <c r="N120" s="495"/>
      <c r="O120" s="495"/>
      <c r="P120" s="495"/>
      <c r="Q120" s="495"/>
      <c r="R120" s="298"/>
      <c r="S120" s="298"/>
      <c r="T120" s="496" t="s">
        <v>234</v>
      </c>
      <c r="U120" s="496"/>
      <c r="V120" s="496"/>
      <c r="W120" s="496"/>
      <c r="X120" s="496"/>
      <c r="Y120" s="493"/>
      <c r="Z120" s="493"/>
      <c r="AA120" s="493"/>
      <c r="AB120" s="493"/>
      <c r="AC120" s="493"/>
      <c r="AD120" s="493"/>
      <c r="AE120" s="493"/>
      <c r="AF120" s="494"/>
      <c r="AG120" s="494"/>
      <c r="AH120" s="494"/>
      <c r="AI120" s="494"/>
      <c r="AJ120" s="494"/>
      <c r="AK120" s="494"/>
      <c r="AL120" s="494"/>
      <c r="AM120" s="494"/>
      <c r="AN120" s="494"/>
      <c r="AO120" s="494"/>
      <c r="AP120" s="123"/>
    </row>
    <row r="121" spans="1:42" ht="11.25" customHeight="1" x14ac:dyDescent="0.2">
      <c r="A121" s="304"/>
      <c r="B121" s="305"/>
      <c r="C121" s="305"/>
      <c r="D121" s="305"/>
      <c r="E121" s="305"/>
      <c r="F121" s="305"/>
      <c r="G121" s="305"/>
      <c r="H121" s="305"/>
      <c r="I121" s="305"/>
      <c r="J121" s="305"/>
      <c r="K121" s="305"/>
      <c r="L121" s="305"/>
      <c r="M121" s="293"/>
      <c r="N121" s="293"/>
      <c r="O121" s="293"/>
      <c r="P121" s="293"/>
      <c r="Q121" s="293"/>
      <c r="R121" s="293"/>
      <c r="S121" s="298"/>
      <c r="T121" s="293"/>
      <c r="U121" s="293"/>
      <c r="V121" s="293"/>
      <c r="W121" s="293"/>
      <c r="X121" s="293"/>
      <c r="Y121" s="293"/>
      <c r="Z121" s="293"/>
      <c r="AA121" s="293"/>
      <c r="AB121" s="293"/>
      <c r="AC121" s="293"/>
      <c r="AD121" s="293"/>
      <c r="AE121" s="293"/>
      <c r="AF121" s="295"/>
      <c r="AG121" s="296"/>
      <c r="AH121" s="123"/>
      <c r="AI121" s="123"/>
      <c r="AJ121" s="123"/>
      <c r="AK121" s="123"/>
      <c r="AL121" s="123"/>
      <c r="AM121" s="297"/>
      <c r="AN121" s="123"/>
      <c r="AO121" s="123"/>
      <c r="AP121" s="123"/>
    </row>
    <row r="122" spans="1:42" ht="12" customHeight="1" x14ac:dyDescent="0.2">
      <c r="A122" s="123"/>
      <c r="B122" s="482" t="s">
        <v>91</v>
      </c>
      <c r="C122" s="482"/>
      <c r="D122" s="482"/>
      <c r="E122" s="482"/>
      <c r="F122" s="482"/>
      <c r="G122" s="482"/>
      <c r="H122" s="482"/>
      <c r="I122" s="482"/>
      <c r="J122" s="482"/>
      <c r="K122" s="482"/>
      <c r="L122" s="482"/>
      <c r="M122" s="482"/>
      <c r="N122" s="482"/>
      <c r="O122" s="482"/>
      <c r="P122" s="482"/>
      <c r="Q122" s="482"/>
      <c r="R122" s="293"/>
      <c r="S122" s="293"/>
      <c r="T122" s="293"/>
      <c r="U122" s="293"/>
      <c r="V122" s="293"/>
      <c r="W122" s="293"/>
      <c r="X122" s="293"/>
      <c r="Y122" s="293"/>
      <c r="Z122" s="293"/>
      <c r="AA122" s="293"/>
      <c r="AB122" s="293"/>
      <c r="AC122" s="293"/>
      <c r="AD122" s="293"/>
      <c r="AE122" s="293"/>
      <c r="AF122" s="295"/>
      <c r="AG122" s="296"/>
      <c r="AH122" s="123"/>
      <c r="AI122" s="123"/>
      <c r="AJ122" s="123"/>
      <c r="AK122" s="123"/>
      <c r="AL122" s="123"/>
      <c r="AM122" s="297"/>
      <c r="AN122" s="123"/>
      <c r="AO122" s="123"/>
      <c r="AP122" s="123"/>
    </row>
    <row r="123" spans="1:42" ht="11.25" customHeight="1" x14ac:dyDescent="0.2">
      <c r="A123" s="123"/>
      <c r="B123" s="293"/>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293"/>
      <c r="Z123" s="293"/>
      <c r="AA123" s="293"/>
      <c r="AB123" s="293"/>
      <c r="AC123" s="293"/>
      <c r="AD123" s="293"/>
      <c r="AE123" s="293"/>
      <c r="AF123" s="295"/>
      <c r="AG123" s="296"/>
      <c r="AH123" s="123"/>
      <c r="AI123" s="123"/>
      <c r="AJ123" s="123"/>
      <c r="AK123" s="123"/>
      <c r="AL123" s="123"/>
      <c r="AM123" s="297"/>
      <c r="AN123" s="123"/>
      <c r="AO123" s="123"/>
      <c r="AP123" s="123"/>
    </row>
    <row r="124" spans="1:42" ht="11.25" customHeight="1" x14ac:dyDescent="0.2">
      <c r="A124" s="298"/>
      <c r="B124" s="298"/>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c r="AA124" s="298"/>
      <c r="AB124" s="298"/>
      <c r="AC124" s="298"/>
      <c r="AD124" s="298"/>
      <c r="AE124" s="298"/>
      <c r="AF124" s="298"/>
      <c r="AG124" s="298"/>
      <c r="AH124" s="298"/>
      <c r="AI124" s="298"/>
      <c r="AJ124" s="298"/>
      <c r="AK124" s="298"/>
      <c r="AL124" s="298"/>
      <c r="AM124" s="298"/>
      <c r="AN124" s="298"/>
      <c r="AO124" s="298"/>
      <c r="AP124" s="123"/>
    </row>
    <row r="125" spans="1:42" x14ac:dyDescent="0.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row>
    <row r="126" spans="1:42"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row>
    <row r="127" spans="1:42"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row>
    <row r="128" spans="1:42" x14ac:dyDescent="0.2">
      <c r="AF128" s="50"/>
      <c r="AG128" s="50"/>
      <c r="AM128" s="50"/>
    </row>
    <row r="129" spans="32:39" x14ac:dyDescent="0.2">
      <c r="AF129" s="50"/>
      <c r="AG129" s="50"/>
      <c r="AM129" s="50"/>
    </row>
    <row r="130" spans="32:39" x14ac:dyDescent="0.2">
      <c r="AF130" s="50"/>
      <c r="AG130" s="50"/>
      <c r="AM130" s="50"/>
    </row>
    <row r="131" spans="32:39" x14ac:dyDescent="0.2">
      <c r="AF131" s="50"/>
      <c r="AG131" s="50"/>
      <c r="AM131" s="50"/>
    </row>
    <row r="132" spans="32:39" x14ac:dyDescent="0.2">
      <c r="AF132" s="50"/>
      <c r="AG132" s="50"/>
      <c r="AM132" s="50"/>
    </row>
    <row r="133" spans="32:39" x14ac:dyDescent="0.2">
      <c r="AF133" s="50"/>
      <c r="AG133" s="50"/>
      <c r="AM133" s="50"/>
    </row>
    <row r="134" spans="32:39" x14ac:dyDescent="0.2">
      <c r="AF134" s="50"/>
      <c r="AG134" s="50"/>
      <c r="AM134" s="50"/>
    </row>
    <row r="135" spans="32:39" x14ac:dyDescent="0.2">
      <c r="AF135" s="50"/>
      <c r="AG135" s="50"/>
      <c r="AM135" s="50"/>
    </row>
    <row r="136" spans="32:39" x14ac:dyDescent="0.2">
      <c r="AF136" s="50"/>
      <c r="AG136" s="50"/>
      <c r="AM136" s="50"/>
    </row>
    <row r="137" spans="32:39" x14ac:dyDescent="0.2">
      <c r="AF137" s="50"/>
      <c r="AG137" s="50"/>
      <c r="AM137" s="50"/>
    </row>
    <row r="138" spans="32:39" x14ac:dyDescent="0.2">
      <c r="AF138" s="50"/>
      <c r="AG138" s="50"/>
      <c r="AM138" s="50"/>
    </row>
    <row r="139" spans="32:39" x14ac:dyDescent="0.2">
      <c r="AF139" s="50"/>
      <c r="AG139" s="50"/>
      <c r="AM139" s="50"/>
    </row>
    <row r="140" spans="32:39" x14ac:dyDescent="0.2">
      <c r="AF140" s="50"/>
      <c r="AG140" s="50"/>
      <c r="AM140" s="50"/>
    </row>
  </sheetData>
  <sheetProtection sheet="1" objects="1" scenarios="1"/>
  <mergeCells count="26">
    <mergeCell ref="B6:E6"/>
    <mergeCell ref="F6:N6"/>
    <mergeCell ref="B1:L1"/>
    <mergeCell ref="AN1:AO1"/>
    <mergeCell ref="B2:E2"/>
    <mergeCell ref="F2:N2"/>
    <mergeCell ref="P2:U2"/>
    <mergeCell ref="B3:E3"/>
    <mergeCell ref="F3:N3"/>
    <mergeCell ref="P3:U3"/>
    <mergeCell ref="B4:E4"/>
    <mergeCell ref="F4:N4"/>
    <mergeCell ref="P4:U4"/>
    <mergeCell ref="B5:E5"/>
    <mergeCell ref="F5:N5"/>
    <mergeCell ref="B122:Q122"/>
    <mergeCell ref="B7:E7"/>
    <mergeCell ref="F7:N7"/>
    <mergeCell ref="AG10:AH10"/>
    <mergeCell ref="AN10:AO10"/>
    <mergeCell ref="B117:Q117"/>
    <mergeCell ref="B119:Q119"/>
    <mergeCell ref="Y119:AE120"/>
    <mergeCell ref="AF119:AO120"/>
    <mergeCell ref="B120:Q120"/>
    <mergeCell ref="T120:X120"/>
  </mergeCells>
  <conditionalFormatting sqref="AH114 B114:AE114">
    <cfRule type="expression" dxfId="180" priority="13">
      <formula>ABS(B$114)&gt;=ROUND(1/24/60,9)</formula>
    </cfRule>
  </conditionalFormatting>
  <conditionalFormatting sqref="B13:AE22 B34:AE44 B25:AE30 B60:AE61 B67:AE67 B71:AE72 B84:AE84 B86:AE95 B97:AE111">
    <cfRule type="expression" dxfId="179" priority="11">
      <formula>WEEKDAY(B$10,2)&gt;5</formula>
    </cfRule>
    <cfRule type="expression" dxfId="178" priority="12">
      <formula>AND(NOT(ISERROR(MATCH(B$10,T.Feiertage.Bereich,0))),OFFSET(T.Feiertage.Bereich,MATCH(B$10,T.Feiertage.Bereich,0)-1,1,1,1)&gt;0)</formula>
    </cfRule>
    <cfRule type="expression" dxfId="177" priority="14">
      <formula>B$11=0</formula>
    </cfRule>
  </conditionalFormatting>
  <conditionalFormatting sqref="AM60:AN60">
    <cfRule type="expression" dxfId="176" priority="19">
      <formula>AND(T.50_Vetsuisse,AM60&gt;=T.GrenzeAngÜZ50_Vetsuisse)</formula>
    </cfRule>
    <cfRule type="expression" dxfId="175" priority="20">
      <formula>AND(T.50_Vetsuisse,AM60&gt;T.GrenzeAngÜZ50_Vetsuisse*T.AngÜZ50_Vetsuisse_orange)</formula>
    </cfRule>
  </conditionalFormatting>
  <conditionalFormatting sqref="B56:AE56">
    <cfRule type="expression" dxfId="174" priority="5">
      <formula>AND(B$10&gt;TODAY(),EB.UJAustritt="")</formula>
    </cfRule>
    <cfRule type="expression" dxfId="173" priority="6">
      <formula>B$56&gt;99.99/24</formula>
    </cfRule>
    <cfRule type="expression" dxfId="172" priority="8">
      <formula>B$56&lt;99.99/24*-1</formula>
    </cfRule>
  </conditionalFormatting>
  <conditionalFormatting sqref="AN55:AO55">
    <cfRule type="cellIs" dxfId="171" priority="21" operator="greaterThan">
      <formula>1/24/60</formula>
    </cfRule>
    <cfRule type="expression" dxfId="170" priority="22">
      <formula>AND(AN55&lt;=1/24/60*-1,TODAY()&gt;=DATE(EB.Jahr,MONTH(12),DAY(31)))</formula>
    </cfRule>
  </conditionalFormatting>
  <conditionalFormatting sqref="AH58 B56:AE56">
    <cfRule type="expression" dxfId="169" priority="7">
      <formula>B$56&gt;1/24/60</formula>
    </cfRule>
    <cfRule type="expression" dxfId="168" priority="9">
      <formula>AND(B$56&lt;=1/24/60*-1,B$56)</formula>
    </cfRule>
  </conditionalFormatting>
  <conditionalFormatting sqref="B14:AE22 B36:AE44 B26:AE30">
    <cfRule type="expression" dxfId="167" priority="3">
      <formula>AND(B14&lt;B13,B14&lt;&gt;"")</formula>
    </cfRule>
  </conditionalFormatting>
  <conditionalFormatting sqref="B72:AE73">
    <cfRule type="expression" dxfId="166" priority="10">
      <formula>AND(T.50_Vetsuisse,OR(AND(B$72&lt;&gt;INDEX(T.JaNein.Bereich,1,1),B$72&lt;&gt;INDEX(T.JaNein.Bereich,2,1),B$73&lt;&gt;0,MOD(IFERROR(MATCH(1,B$13:B$22,0),1),2)=0),AND(B$72=INDEX(T.JaNein.Bereich,1,1),OR(B$73=0,MOD(IFERROR(MATCH(1,B$13:B$22,0),1),2)&lt;&gt;0))))</formula>
    </cfRule>
  </conditionalFormatting>
  <conditionalFormatting sqref="P4:U4">
    <cfRule type="expression" dxfId="165" priority="15">
      <formula>$P$4&lt;&gt;""</formula>
    </cfRule>
  </conditionalFormatting>
  <conditionalFormatting sqref="V4">
    <cfRule type="expression" dxfId="164" priority="16">
      <formula>$V$4&lt;&gt;""</formula>
    </cfRule>
  </conditionalFormatting>
  <conditionalFormatting sqref="AO60">
    <cfRule type="expression" dxfId="163" priority="23">
      <formula>AND(T.50_Vetsuisse,AO60&gt;=T.GrenzeAngÜZ50_Vetsuisse)</formula>
    </cfRule>
    <cfRule type="expression" dxfId="162" priority="24">
      <formula>AND(T.50_Vetsuisse,AO60&gt;T.GrenzeAngÜZ50_Vetsuisse*T.AngÜZ50_Vetsuisse_orange)</formula>
    </cfRule>
  </conditionalFormatting>
  <conditionalFormatting sqref="AI72:AI73">
    <cfRule type="expression" dxfId="161" priority="17">
      <formula>AND(T.50_Vetsuisse,$AI$72&lt;&gt;$AI$73)</formula>
    </cfRule>
    <cfRule type="expression" dxfId="160" priority="18">
      <formula>$AI$72&gt;$AI$73</formula>
    </cfRule>
  </conditionalFormatting>
  <conditionalFormatting sqref="B55:AE55">
    <cfRule type="expression" dxfId="159" priority="4">
      <formula>AND(B$10&lt;=TODAY(),B$55&lt;1/24/60*-1)</formula>
    </cfRule>
  </conditionalFormatting>
  <conditionalFormatting sqref="AF67 AF84">
    <cfRule type="expression" dxfId="158" priority="2">
      <formula>AF67&lt;&gt;A67</formula>
    </cfRule>
  </conditionalFormatting>
  <conditionalFormatting sqref="B67:AE67">
    <cfRule type="expression" dxfId="157" priority="1">
      <formula>AND(B66=0,B67&gt;0)</formula>
    </cfRule>
  </conditionalFormatting>
  <dataValidations count="2">
    <dataValidation type="list" allowBlank="1" showInputMessage="1" showErrorMessage="1" errorTitle="Start pl. night shift" error="Please choose a value from the drop-down list." sqref="B72:AE72" xr:uid="{76BACC11-97D3-44CD-A846-B9BCDCCD7740}">
      <formula1>T.JaNein.Bereich</formula1>
    </dataValidation>
    <dataValidation type="list" allowBlank="1" showInputMessage="1" showErrorMessage="1" errorTitle="Pikett Bereitschaft" error="Bitte wählen Sie einen Wert aus der Liste." sqref="B34:AE34" xr:uid="{0B92EAB4-8931-4E81-B4CE-FAF984D1F98E}">
      <formula1>T.Pikett.Bereich</formula1>
    </dataValidation>
  </dataValidations>
  <printOptions horizontalCentered="1"/>
  <pageMargins left="0.19685039370078741" right="0.19685039370078741" top="0.39370078740157483" bottom="0.39370078740157483" header="0.31496062992125984" footer="0.19685039370078741"/>
  <pageSetup paperSize="9" scale="30" orientation="landscape" horizontalDpi="4294967292" verticalDpi="4294967292" r:id="rId1"/>
  <headerFooter alignWithMargins="0">
    <oddFooter>&amp;L&amp;"Arial,Standard"&amp;11Monatsabrechnung &amp;A&amp;C&amp;"Arial,Standard"&amp;11&amp;D&amp;R&amp;"Arial,Standard"&amp;11&amp;P / &amp;N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34723-C1E8-4374-B633-9848E7928EE3}">
  <sheetPr>
    <pageSetUpPr fitToPage="1"/>
  </sheetPr>
  <dimension ref="A1:AQ140"/>
  <sheetViews>
    <sheetView showGridLines="0" zoomScale="85" zoomScaleNormal="85" zoomScalePageLayoutView="85" workbookViewId="0">
      <pane xSplit="1" ySplit="10" topLeftCell="B11" activePane="bottomRight" state="frozenSplit"/>
      <selection activeCell="Q8" sqref="Q8:AF11"/>
      <selection pane="topRight" activeCell="Q8" sqref="Q8:AF11"/>
      <selection pane="bottomLeft" activeCell="Q8" sqref="Q8:AF11"/>
      <selection pane="bottomRight" activeCell="B13" sqref="B13"/>
    </sheetView>
  </sheetViews>
  <sheetFormatPr baseColWidth="10" defaultColWidth="10.75" defaultRowHeight="12.75" outlineLevelRow="1" outlineLevelCol="1" x14ac:dyDescent="0.2"/>
  <cols>
    <col min="1" max="1" width="24.5" style="50" customWidth="1"/>
    <col min="2" max="32" width="5.75" style="50" customWidth="1"/>
    <col min="33" max="33" width="24.5" style="52" customWidth="1"/>
    <col min="34" max="34" width="2.125" style="53" customWidth="1"/>
    <col min="35" max="36" width="8.125" style="50" customWidth="1"/>
    <col min="37" max="37" width="15.875" style="50" hidden="1" customWidth="1" outlineLevel="1"/>
    <col min="38" max="39" width="14.25" style="50" hidden="1" customWidth="1" outlineLevel="1"/>
    <col min="40" max="40" width="9.375" style="37" customWidth="1" collapsed="1"/>
    <col min="41" max="42" width="8.125" style="50" customWidth="1"/>
    <col min="43" max="43" width="3.75" style="50" customWidth="1"/>
    <col min="44" max="16384" width="10.75" style="50"/>
  </cols>
  <sheetData>
    <row r="1" spans="1:43" s="54" customFormat="1" ht="22.5" customHeight="1" x14ac:dyDescent="0.2">
      <c r="A1" s="181" t="str">
        <f>INDEX(EB.Monate.Bereich,MONTH(Monat.Tag1)) &amp; " " &amp; EB.Jahr</f>
        <v>July 2020</v>
      </c>
      <c r="B1" s="470" t="str">
        <f>Eingabeblatt!B1</f>
        <v>Employee Time Sheet</v>
      </c>
      <c r="C1" s="470"/>
      <c r="D1" s="470"/>
      <c r="E1" s="470"/>
      <c r="F1" s="470"/>
      <c r="G1" s="470"/>
      <c r="H1" s="470"/>
      <c r="I1" s="470"/>
      <c r="J1" s="470"/>
      <c r="K1" s="470"/>
      <c r="L1" s="470"/>
      <c r="M1" s="101"/>
      <c r="N1" s="101"/>
      <c r="O1" s="101"/>
      <c r="P1" s="101"/>
      <c r="Q1" s="101"/>
      <c r="R1" s="182"/>
      <c r="S1" s="101"/>
      <c r="T1" s="101"/>
      <c r="U1" s="101"/>
      <c r="V1" s="183"/>
      <c r="W1" s="183"/>
      <c r="X1" s="101"/>
      <c r="Y1" s="182"/>
      <c r="Z1" s="101"/>
      <c r="AA1" s="101"/>
      <c r="AB1" s="101"/>
      <c r="AC1" s="101"/>
      <c r="AD1" s="101"/>
      <c r="AE1" s="101"/>
      <c r="AF1" s="101"/>
      <c r="AG1" s="184"/>
      <c r="AH1" s="185"/>
      <c r="AI1" s="101"/>
      <c r="AJ1" s="101"/>
      <c r="AK1" s="101"/>
      <c r="AL1" s="101"/>
      <c r="AM1" s="101"/>
      <c r="AN1" s="440"/>
      <c r="AO1" s="498" t="str">
        <f>EB.Version</f>
        <v>Version 12.19</v>
      </c>
      <c r="AP1" s="498"/>
      <c r="AQ1" s="103" t="str">
        <f>EB.Sprache</f>
        <v>EN</v>
      </c>
    </row>
    <row r="2" spans="1:43" s="38" customFormat="1" ht="15" customHeight="1" x14ac:dyDescent="0.2">
      <c r="A2" s="135"/>
      <c r="B2" s="461" t="str">
        <f>Eingabeblatt!A3</f>
        <v>Name</v>
      </c>
      <c r="C2" s="474"/>
      <c r="D2" s="474"/>
      <c r="E2" s="462"/>
      <c r="F2" s="499" t="str">
        <f>IF(EB.Name="","?",EB.Name)</f>
        <v>?</v>
      </c>
      <c r="G2" s="500"/>
      <c r="H2" s="500"/>
      <c r="I2" s="500"/>
      <c r="J2" s="500"/>
      <c r="K2" s="500"/>
      <c r="L2" s="500"/>
      <c r="M2" s="500"/>
      <c r="N2" s="501"/>
      <c r="O2" s="186"/>
      <c r="P2" s="461" t="str">
        <f>Eingabeblatt!J7</f>
        <v>Employment Level (FTE) in %</v>
      </c>
      <c r="Q2" s="474"/>
      <c r="R2" s="474"/>
      <c r="S2" s="474"/>
      <c r="T2" s="474"/>
      <c r="U2" s="462"/>
      <c r="V2" s="14">
        <f>IF(INDEX(EB.EffBG.Bereich,MONTH(Monat.Tag1))="","-     ",INDEX(EB.EffBG.Bereich,MONTH(Monat.Tag1)))</f>
        <v>100</v>
      </c>
      <c r="W2" s="187"/>
      <c r="X2" s="187"/>
      <c r="Y2" s="108"/>
      <c r="Z2" s="119"/>
      <c r="AA2" s="119"/>
      <c r="AB2" s="119"/>
      <c r="AC2" s="119"/>
      <c r="AD2" s="119"/>
      <c r="AE2" s="119"/>
      <c r="AF2" s="119"/>
      <c r="AG2" s="106"/>
      <c r="AH2" s="188"/>
      <c r="AI2" s="119"/>
      <c r="AJ2" s="119"/>
      <c r="AK2" s="119"/>
      <c r="AL2" s="119"/>
      <c r="AM2" s="119"/>
      <c r="AN2" s="189"/>
      <c r="AO2" s="119"/>
      <c r="AP2" s="119"/>
      <c r="AQ2" s="119"/>
    </row>
    <row r="3" spans="1:43" s="38" customFormat="1" ht="15" customHeight="1" x14ac:dyDescent="0.2">
      <c r="A3" s="190"/>
      <c r="B3" s="461" t="str">
        <f>Eingabeblatt!H2</f>
        <v>Function</v>
      </c>
      <c r="C3" s="474"/>
      <c r="D3" s="474"/>
      <c r="E3" s="462"/>
      <c r="F3" s="483" t="str">
        <f>EB.Funktion</f>
        <v>Description of Function</v>
      </c>
      <c r="G3" s="484"/>
      <c r="H3" s="484"/>
      <c r="I3" s="484"/>
      <c r="J3" s="484"/>
      <c r="K3" s="484"/>
      <c r="L3" s="484"/>
      <c r="M3" s="484"/>
      <c r="N3" s="485"/>
      <c r="O3" s="106"/>
      <c r="P3" s="461" t="str">
        <f>Eingabeblatt!J12</f>
        <v>ø Hours per day at FTE</v>
      </c>
      <c r="Q3" s="474"/>
      <c r="R3" s="474"/>
      <c r="S3" s="474"/>
      <c r="T3" s="474"/>
      <c r="U3" s="462"/>
      <c r="V3" s="57">
        <f>IF(INDEX(EB.DurchSollTAZStd.Bereich,MONTH(Monat.Tag1))="","-     ",INDEX(EB.DurchSollTAZStd.Bereich,MONTH(Monat.Tag1)))</f>
        <v>0.35</v>
      </c>
      <c r="W3" s="191"/>
      <c r="X3" s="191"/>
      <c r="Y3" s="119"/>
      <c r="Z3" s="119"/>
      <c r="AA3" s="119"/>
      <c r="AB3" s="119"/>
      <c r="AC3" s="119"/>
      <c r="AD3" s="119"/>
      <c r="AE3" s="119"/>
      <c r="AF3" s="119"/>
      <c r="AG3" s="106"/>
      <c r="AH3" s="188"/>
      <c r="AI3" s="119"/>
      <c r="AJ3" s="119"/>
      <c r="AK3" s="119"/>
      <c r="AL3" s="119"/>
      <c r="AM3" s="119"/>
      <c r="AN3" s="189"/>
      <c r="AO3" s="119"/>
      <c r="AP3" s="119"/>
      <c r="AQ3" s="119"/>
    </row>
    <row r="4" spans="1:43" s="38" customFormat="1" ht="15" customHeight="1" x14ac:dyDescent="0.2">
      <c r="A4" s="190"/>
      <c r="B4" s="461" t="str">
        <f>Eingabeblatt!H3</f>
        <v>Institute/Department</v>
      </c>
      <c r="C4" s="474"/>
      <c r="D4" s="474"/>
      <c r="E4" s="462"/>
      <c r="F4" s="483" t="str">
        <f>EB.Institut</f>
        <v>Institute/Department Name</v>
      </c>
      <c r="G4" s="484"/>
      <c r="H4" s="484"/>
      <c r="I4" s="484"/>
      <c r="J4" s="484"/>
      <c r="K4" s="484"/>
      <c r="L4" s="484"/>
      <c r="M4" s="484"/>
      <c r="N4" s="485"/>
      <c r="O4" s="106"/>
      <c r="P4" s="497" t="str">
        <f ca="1">IF(EB.ÜZZSBerechtigt=INDEX(T.JaNein.Bereich,1,1),IF(AND(OR(AND(EB.LKgr16=INDEX(T.JaNein.Bereich,1,1),EB.LKgr16ab&gt;EOMONTH(Monat.Tag1,0)),EB.LKgr16&lt;&gt;INDEX(T.JaNein.Bereich,1,1)),Monat.AZSoll.Total&gt;0),Eingabeblatt!J6,""),"")</f>
        <v/>
      </c>
      <c r="Q4" s="497"/>
      <c r="R4" s="497"/>
      <c r="S4" s="497"/>
      <c r="T4" s="497"/>
      <c r="U4" s="497"/>
      <c r="V4" s="192" t="str">
        <f ca="1">IF(P4&lt;&gt;"",EB.ÜZZSBerechtigt,"")</f>
        <v/>
      </c>
      <c r="W4" s="119"/>
      <c r="X4" s="119"/>
      <c r="Y4" s="119"/>
      <c r="Z4" s="119"/>
      <c r="AA4" s="119"/>
      <c r="AB4" s="119"/>
      <c r="AC4" s="119"/>
      <c r="AD4" s="119"/>
      <c r="AE4" s="119"/>
      <c r="AF4" s="119"/>
      <c r="AG4" s="106"/>
      <c r="AH4" s="188"/>
      <c r="AI4" s="119"/>
      <c r="AJ4" s="119"/>
      <c r="AK4" s="119"/>
      <c r="AL4" s="119"/>
      <c r="AM4" s="119"/>
      <c r="AN4" s="189"/>
      <c r="AO4" s="119"/>
      <c r="AP4" s="119"/>
      <c r="AQ4" s="119"/>
    </row>
    <row r="5" spans="1:43" s="38" customFormat="1" ht="15" customHeight="1" x14ac:dyDescent="0.2">
      <c r="A5" s="190"/>
      <c r="B5" s="461" t="str">
        <f>Eingabeblatt!A5</f>
        <v>Employee Number</v>
      </c>
      <c r="C5" s="474"/>
      <c r="D5" s="474"/>
      <c r="E5" s="462"/>
      <c r="F5" s="483" t="str">
        <f>IF(EB.Personalnummer="","?",EB.Personalnummer)</f>
        <v>?</v>
      </c>
      <c r="G5" s="484"/>
      <c r="H5" s="484"/>
      <c r="I5" s="484"/>
      <c r="J5" s="484"/>
      <c r="K5" s="484"/>
      <c r="L5" s="484"/>
      <c r="M5" s="484"/>
      <c r="N5" s="485"/>
      <c r="O5" s="106"/>
      <c r="P5" s="110" t="str">
        <f>LEFT(Eingabeblatt!A38,SEARCH("(",Eingabeblatt!A38,1)-2) &amp; IF(MONTH(Monat.Tag1)&gt;1,IF(EB.Sprache="EN"," (changes as of "," (Veränderungen ab ") &amp; INDEX(EB.Monate.Bereich,MONTH(Monat.Tag1))  &amp; IF(EB.Sprache="EN"," have to be entered here)"," hier eintragen)"),"")</f>
        <v>Standard working hours (changes as of July have to be entered here)</v>
      </c>
      <c r="Q5" s="106"/>
      <c r="R5" s="119"/>
      <c r="S5" s="119"/>
      <c r="T5" s="119"/>
      <c r="U5" s="119"/>
      <c r="V5" s="119"/>
      <c r="W5" s="119"/>
      <c r="X5" s="119"/>
      <c r="Y5" s="119"/>
      <c r="Z5" s="119"/>
      <c r="AA5" s="119"/>
      <c r="AB5" s="119"/>
      <c r="AC5" s="119"/>
      <c r="AD5" s="119"/>
      <c r="AE5" s="119"/>
      <c r="AF5" s="119" t="s">
        <v>4</v>
      </c>
      <c r="AG5" s="106"/>
      <c r="AH5" s="188"/>
      <c r="AI5" s="119"/>
      <c r="AJ5" s="119"/>
      <c r="AK5" s="119"/>
      <c r="AL5" s="119"/>
      <c r="AM5" s="119"/>
      <c r="AN5" s="189"/>
      <c r="AO5" s="119"/>
      <c r="AP5" s="119"/>
      <c r="AQ5" s="119"/>
    </row>
    <row r="6" spans="1:43" s="38" customFormat="1" ht="15" customHeight="1" x14ac:dyDescent="0.2">
      <c r="A6" s="190"/>
      <c r="B6" s="461" t="str">
        <f>Eingabeblatt!H4</f>
        <v>Faculty</v>
      </c>
      <c r="C6" s="474"/>
      <c r="D6" s="474"/>
      <c r="E6" s="462"/>
      <c r="F6" s="483" t="str">
        <f>EB.Fakultaet</f>
        <v>Select Faculty</v>
      </c>
      <c r="G6" s="484"/>
      <c r="H6" s="484"/>
      <c r="I6" s="484"/>
      <c r="J6" s="484"/>
      <c r="K6" s="484"/>
      <c r="L6" s="484"/>
      <c r="M6" s="484"/>
      <c r="N6" s="485"/>
      <c r="O6" s="106"/>
      <c r="P6" s="193" t="str">
        <f>LEFT(INDEX(EB.RAZ_Wochentage.Bereich,1),2)</f>
        <v>Mo</v>
      </c>
      <c r="Q6" s="193" t="str">
        <f>LEFT(INDEX(EB.RAZ_Wochentage.Bereich,2),2)</f>
        <v>Tu</v>
      </c>
      <c r="R6" s="193" t="str">
        <f>LEFT(INDEX(EB.RAZ_Wochentage.Bereich,3),2)</f>
        <v>We</v>
      </c>
      <c r="S6" s="193" t="str">
        <f>LEFT(INDEX(EB.RAZ_Wochentage.Bereich,4),2)</f>
        <v>Th</v>
      </c>
      <c r="T6" s="193" t="str">
        <f>LEFT(INDEX(EB.RAZ_Wochentage.Bereich,5),2)</f>
        <v>Fr</v>
      </c>
      <c r="U6" s="193" t="str">
        <f>LEFT(INDEX(EB.RAZ_Wochentage.Bereich,6),2)</f>
        <v>Sa</v>
      </c>
      <c r="V6" s="193" t="str">
        <f>LEFT(INDEX(EB.RAZ_Wochentage.Bereich,7),2)</f>
        <v>Su</v>
      </c>
      <c r="W6" s="119"/>
      <c r="X6" s="119"/>
      <c r="Y6" s="119"/>
      <c r="Z6" s="119"/>
      <c r="AA6" s="119"/>
      <c r="AB6" s="119"/>
      <c r="AC6" s="119"/>
      <c r="AD6" s="119"/>
      <c r="AE6" s="119"/>
      <c r="AF6" s="119"/>
      <c r="AG6" s="106"/>
      <c r="AH6" s="188"/>
      <c r="AI6" s="119"/>
      <c r="AJ6" s="119"/>
      <c r="AK6" s="119"/>
      <c r="AL6" s="119"/>
      <c r="AM6" s="119"/>
      <c r="AN6" s="189"/>
      <c r="AO6" s="119"/>
      <c r="AP6" s="119"/>
      <c r="AQ6" s="119"/>
    </row>
    <row r="7" spans="1:43" s="38" customFormat="1" ht="15" customHeight="1" x14ac:dyDescent="0.2">
      <c r="A7" s="190"/>
      <c r="B7" s="461" t="str">
        <f>Eingabeblatt!H5</f>
        <v>Employee Category</v>
      </c>
      <c r="C7" s="474"/>
      <c r="D7" s="474"/>
      <c r="E7" s="462"/>
      <c r="F7" s="483" t="str">
        <f>EB.Personalkategorie</f>
        <v>Select Employee Category</v>
      </c>
      <c r="G7" s="484"/>
      <c r="H7" s="484"/>
      <c r="I7" s="484"/>
      <c r="J7" s="484"/>
      <c r="K7" s="484"/>
      <c r="L7" s="484"/>
      <c r="M7" s="484"/>
      <c r="N7" s="485"/>
      <c r="O7" s="106"/>
      <c r="P7" s="194">
        <f ca="1">IF(EB.Anwendung&lt;&gt;"",IF(MONTH(Monat.Tag1)=1,INDEX(EB.RAZ1_7.Bereich,1),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1)),"")</f>
        <v>0.35</v>
      </c>
      <c r="Q7" s="194">
        <f ca="1">IF(EB.Anwendung&lt;&gt;"",IF(MONTH(Monat.Tag1)=1,INDEX(EB.RAZ1_7.Bereich,2),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2)),"")</f>
        <v>0.35</v>
      </c>
      <c r="R7" s="194">
        <f ca="1">IF(EB.Anwendung&lt;&gt;"",IF(MONTH(Monat.Tag1)=1,INDEX(EB.RAZ1_7.Bereich,3),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3)),"")</f>
        <v>0.35</v>
      </c>
      <c r="S7" s="194">
        <f ca="1">IF(EB.Anwendung&lt;&gt;"",IF(MONTH(Monat.Tag1)=1,INDEX(EB.RAZ1_7.Bereich,4),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4)),"")</f>
        <v>0.35</v>
      </c>
      <c r="T7" s="194">
        <f ca="1">IF(EB.Anwendung&lt;&gt;"",IF(MONTH(Monat.Tag1)=1,INDEX(EB.RAZ1_7.Bereich,5),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5)),"")</f>
        <v>0.35</v>
      </c>
      <c r="U7" s="194">
        <f ca="1">IF(EB.Anwendung&lt;&gt;"",IF(MONTH(Monat.Tag1)=1,INDEX(EB.RAZ1_7.Bereich,6),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6)),"")</f>
        <v>0</v>
      </c>
      <c r="V7" s="194">
        <f ca="1">IF(EB.Anwendung&lt;&gt;"",IF(MONTH(Monat.Tag1)=1,INDEX(EB.RAZ1_7.Bereich,7),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7)),"")</f>
        <v>0</v>
      </c>
      <c r="W7" s="354">
        <f ca="1">SUM(Monat.RAZ1_7.Bereich)</f>
        <v>1.75</v>
      </c>
      <c r="X7" s="119"/>
      <c r="Y7" s="119"/>
      <c r="Z7" s="119"/>
      <c r="AA7" s="119"/>
      <c r="AB7" s="119"/>
      <c r="AC7" s="119"/>
      <c r="AD7" s="119"/>
      <c r="AE7" s="119"/>
      <c r="AF7" s="119"/>
      <c r="AG7" s="106"/>
      <c r="AH7" s="188"/>
      <c r="AI7" s="119"/>
      <c r="AJ7" s="119"/>
      <c r="AK7" s="119"/>
      <c r="AL7" s="119"/>
      <c r="AM7" s="119"/>
      <c r="AN7" s="189"/>
      <c r="AO7" s="119"/>
      <c r="AP7" s="119"/>
      <c r="AQ7" s="119"/>
    </row>
    <row r="8" spans="1:43" s="38" customFormat="1" ht="11.25" customHeight="1" x14ac:dyDescent="0.2">
      <c r="A8" s="135"/>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06"/>
      <c r="AH8" s="188"/>
      <c r="AI8" s="119"/>
      <c r="AJ8" s="119"/>
      <c r="AK8" s="119"/>
      <c r="AL8" s="119"/>
      <c r="AM8" s="119"/>
      <c r="AN8" s="189"/>
      <c r="AO8" s="119"/>
      <c r="AP8" s="119"/>
      <c r="AQ8" s="119"/>
    </row>
    <row r="9" spans="1:43" s="38" customFormat="1" ht="15" customHeight="1" x14ac:dyDescent="0.2">
      <c r="A9" s="135"/>
      <c r="B9" s="195" t="str">
        <f t="shared" ref="B9:AF9" si="0">INDEX(Monat.Wochentage.Bereich,1,WEEKDAY(B10,2))</f>
        <v>We</v>
      </c>
      <c r="C9" s="195" t="str">
        <f t="shared" si="0"/>
        <v>Th</v>
      </c>
      <c r="D9" s="195" t="str">
        <f t="shared" si="0"/>
        <v>Fr</v>
      </c>
      <c r="E9" s="195" t="str">
        <f t="shared" si="0"/>
        <v>Sa</v>
      </c>
      <c r="F9" s="195" t="str">
        <f t="shared" si="0"/>
        <v>Su</v>
      </c>
      <c r="G9" s="195" t="str">
        <f t="shared" si="0"/>
        <v>Mo</v>
      </c>
      <c r="H9" s="195" t="str">
        <f t="shared" si="0"/>
        <v>Tu</v>
      </c>
      <c r="I9" s="195" t="str">
        <f t="shared" si="0"/>
        <v>We</v>
      </c>
      <c r="J9" s="195" t="str">
        <f t="shared" si="0"/>
        <v>Th</v>
      </c>
      <c r="K9" s="195" t="str">
        <f t="shared" si="0"/>
        <v>Fr</v>
      </c>
      <c r="L9" s="195" t="str">
        <f t="shared" si="0"/>
        <v>Sa</v>
      </c>
      <c r="M9" s="195" t="str">
        <f t="shared" si="0"/>
        <v>Su</v>
      </c>
      <c r="N9" s="195" t="str">
        <f t="shared" si="0"/>
        <v>Mo</v>
      </c>
      <c r="O9" s="195" t="str">
        <f t="shared" si="0"/>
        <v>Tu</v>
      </c>
      <c r="P9" s="195" t="str">
        <f t="shared" si="0"/>
        <v>We</v>
      </c>
      <c r="Q9" s="195" t="str">
        <f t="shared" si="0"/>
        <v>Th</v>
      </c>
      <c r="R9" s="195" t="str">
        <f t="shared" si="0"/>
        <v>Fr</v>
      </c>
      <c r="S9" s="195" t="str">
        <f t="shared" si="0"/>
        <v>Sa</v>
      </c>
      <c r="T9" s="195" t="str">
        <f t="shared" si="0"/>
        <v>Su</v>
      </c>
      <c r="U9" s="195" t="str">
        <f t="shared" si="0"/>
        <v>Mo</v>
      </c>
      <c r="V9" s="195" t="str">
        <f t="shared" si="0"/>
        <v>Tu</v>
      </c>
      <c r="W9" s="195" t="str">
        <f t="shared" si="0"/>
        <v>We</v>
      </c>
      <c r="X9" s="195" t="str">
        <f t="shared" si="0"/>
        <v>Th</v>
      </c>
      <c r="Y9" s="195" t="str">
        <f t="shared" si="0"/>
        <v>Fr</v>
      </c>
      <c r="Z9" s="195" t="str">
        <f t="shared" si="0"/>
        <v>Sa</v>
      </c>
      <c r="AA9" s="195" t="str">
        <f t="shared" si="0"/>
        <v>Su</v>
      </c>
      <c r="AB9" s="195" t="str">
        <f t="shared" si="0"/>
        <v>Mo</v>
      </c>
      <c r="AC9" s="195" t="str">
        <f t="shared" si="0"/>
        <v>Tu</v>
      </c>
      <c r="AD9" s="195" t="str">
        <f t="shared" si="0"/>
        <v>We</v>
      </c>
      <c r="AE9" s="195" t="str">
        <f t="shared" si="0"/>
        <v>Th</v>
      </c>
      <c r="AF9" s="195" t="str">
        <f t="shared" si="0"/>
        <v>Fr</v>
      </c>
      <c r="AG9" s="106"/>
      <c r="AH9" s="188"/>
      <c r="AI9" s="119"/>
      <c r="AJ9" s="119"/>
      <c r="AK9" s="119"/>
      <c r="AL9" s="119"/>
      <c r="AM9" s="119"/>
      <c r="AN9" s="189"/>
      <c r="AO9" s="119"/>
      <c r="AP9" s="119"/>
      <c r="AQ9" s="119"/>
    </row>
    <row r="10" spans="1:43" s="59" customFormat="1" ht="25.5" x14ac:dyDescent="0.2">
      <c r="A10" s="196" t="s">
        <v>73</v>
      </c>
      <c r="B10" s="197">
        <v>42551</v>
      </c>
      <c r="C10" s="197">
        <f>B10+1</f>
        <v>42552</v>
      </c>
      <c r="D10" s="197">
        <f t="shared" ref="D10:AF10" si="1">C10+1</f>
        <v>42553</v>
      </c>
      <c r="E10" s="197">
        <f t="shared" si="1"/>
        <v>42554</v>
      </c>
      <c r="F10" s="197">
        <f t="shared" si="1"/>
        <v>42555</v>
      </c>
      <c r="G10" s="197">
        <f t="shared" si="1"/>
        <v>42556</v>
      </c>
      <c r="H10" s="197">
        <f t="shared" si="1"/>
        <v>42557</v>
      </c>
      <c r="I10" s="197">
        <f t="shared" si="1"/>
        <v>42558</v>
      </c>
      <c r="J10" s="197">
        <f t="shared" si="1"/>
        <v>42559</v>
      </c>
      <c r="K10" s="197">
        <f t="shared" si="1"/>
        <v>42560</v>
      </c>
      <c r="L10" s="197">
        <f t="shared" si="1"/>
        <v>42561</v>
      </c>
      <c r="M10" s="197">
        <f t="shared" si="1"/>
        <v>42562</v>
      </c>
      <c r="N10" s="197">
        <f t="shared" si="1"/>
        <v>42563</v>
      </c>
      <c r="O10" s="197">
        <f t="shared" si="1"/>
        <v>42564</v>
      </c>
      <c r="P10" s="197">
        <f t="shared" si="1"/>
        <v>42565</v>
      </c>
      <c r="Q10" s="197">
        <f t="shared" si="1"/>
        <v>42566</v>
      </c>
      <c r="R10" s="197">
        <f t="shared" si="1"/>
        <v>42567</v>
      </c>
      <c r="S10" s="197">
        <f t="shared" si="1"/>
        <v>42568</v>
      </c>
      <c r="T10" s="197">
        <f t="shared" si="1"/>
        <v>42569</v>
      </c>
      <c r="U10" s="197">
        <f t="shared" si="1"/>
        <v>42570</v>
      </c>
      <c r="V10" s="197">
        <f t="shared" si="1"/>
        <v>42571</v>
      </c>
      <c r="W10" s="197">
        <f t="shared" si="1"/>
        <v>42572</v>
      </c>
      <c r="X10" s="197">
        <f t="shared" si="1"/>
        <v>42573</v>
      </c>
      <c r="Y10" s="197">
        <f t="shared" si="1"/>
        <v>42574</v>
      </c>
      <c r="Z10" s="197">
        <f t="shared" si="1"/>
        <v>42575</v>
      </c>
      <c r="AA10" s="197">
        <f t="shared" si="1"/>
        <v>42576</v>
      </c>
      <c r="AB10" s="197">
        <f t="shared" si="1"/>
        <v>42577</v>
      </c>
      <c r="AC10" s="197">
        <f t="shared" si="1"/>
        <v>42578</v>
      </c>
      <c r="AD10" s="197">
        <f t="shared" si="1"/>
        <v>42579</v>
      </c>
      <c r="AE10" s="197">
        <f t="shared" si="1"/>
        <v>42580</v>
      </c>
      <c r="AF10" s="197">
        <f t="shared" si="1"/>
        <v>42581</v>
      </c>
      <c r="AG10" s="198" t="str">
        <f t="shared" ref="AG10:AG56" si="2">A10</f>
        <v>Day</v>
      </c>
      <c r="AH10" s="486" t="str">
        <f>"Total " &amp; INDEX(EB.Monate.Bereich,MONTH(Monat.Tag1))</f>
        <v>Total July</v>
      </c>
      <c r="AI10" s="487"/>
      <c r="AJ10" s="441" t="s">
        <v>229</v>
      </c>
      <c r="AK10" s="199" t="s">
        <v>121</v>
      </c>
      <c r="AL10" s="199" t="s">
        <v>122</v>
      </c>
      <c r="AM10" s="199" t="s">
        <v>230</v>
      </c>
      <c r="AN10" s="200" t="s">
        <v>123</v>
      </c>
      <c r="AO10" s="488" t="str">
        <f ca="1">IF(EB.Sprache="DE","Jahressaldo per" &amp; CHAR(10) &amp; "    ME       " &amp; IFERROR(TEXT(TODAY(),"[$-0007]"&amp;"TT.MM.JJ"),TEXT(TODAY(),"[$-0007]"&amp;"DD.MM.YY")),
"Yearly balance by" &amp; CHAR(10) &amp; "   eom      " &amp; IFERROR(TEXT(TODAY(),"[$-0809]"&amp;"DD.MM.YY"),TEXT(TODAY(),"[$-0809]"&amp;"TT.MM.JJ")))</f>
        <v>Yearly balance by
   eom      14.12.19</v>
      </c>
      <c r="AP10" s="489"/>
      <c r="AQ10" s="201"/>
    </row>
    <row r="11" spans="1:43" s="59" customFormat="1" ht="12" hidden="1" customHeight="1" x14ac:dyDescent="0.2">
      <c r="A11" s="196" t="s">
        <v>163</v>
      </c>
      <c r="B11" s="202">
        <f t="shared" ref="B11:AF11" ca="1" si="3">IFERROR(OFFSET(T.Feiertage.Bereich,MATCH(B$10,T.Feiertage.Bereich,0)-1,1,1,1),1)</f>
        <v>1</v>
      </c>
      <c r="C11" s="202">
        <f t="shared" ca="1" si="3"/>
        <v>1</v>
      </c>
      <c r="D11" s="202">
        <f t="shared" ca="1" si="3"/>
        <v>1</v>
      </c>
      <c r="E11" s="203">
        <f t="shared" ca="1" si="3"/>
        <v>1</v>
      </c>
      <c r="F11" s="202">
        <f t="shared" ca="1" si="3"/>
        <v>1</v>
      </c>
      <c r="G11" s="202">
        <f t="shared" ca="1" si="3"/>
        <v>1</v>
      </c>
      <c r="H11" s="202">
        <f t="shared" ca="1" si="3"/>
        <v>1</v>
      </c>
      <c r="I11" s="202">
        <f t="shared" ca="1" si="3"/>
        <v>1</v>
      </c>
      <c r="J11" s="203">
        <f t="shared" ca="1" si="3"/>
        <v>1</v>
      </c>
      <c r="K11" s="202">
        <f t="shared" ca="1" si="3"/>
        <v>1</v>
      </c>
      <c r="L11" s="203">
        <f t="shared" ca="1" si="3"/>
        <v>1</v>
      </c>
      <c r="M11" s="202">
        <f t="shared" ca="1" si="3"/>
        <v>1</v>
      </c>
      <c r="N11" s="202">
        <f t="shared" ca="1" si="3"/>
        <v>1</v>
      </c>
      <c r="O11" s="202">
        <f t="shared" ca="1" si="3"/>
        <v>1</v>
      </c>
      <c r="P11" s="202">
        <f t="shared" ca="1" si="3"/>
        <v>1</v>
      </c>
      <c r="Q11" s="203">
        <f t="shared" ca="1" si="3"/>
        <v>1</v>
      </c>
      <c r="R11" s="202">
        <f t="shared" ca="1" si="3"/>
        <v>1</v>
      </c>
      <c r="S11" s="203">
        <f t="shared" ca="1" si="3"/>
        <v>1</v>
      </c>
      <c r="T11" s="203">
        <f t="shared" ca="1" si="3"/>
        <v>1</v>
      </c>
      <c r="U11" s="202">
        <f t="shared" ca="1" si="3"/>
        <v>1</v>
      </c>
      <c r="V11" s="202">
        <f t="shared" ca="1" si="3"/>
        <v>1</v>
      </c>
      <c r="W11" s="202">
        <f t="shared" ca="1" si="3"/>
        <v>1</v>
      </c>
      <c r="X11" s="203">
        <f t="shared" ca="1" si="3"/>
        <v>1</v>
      </c>
      <c r="Y11" s="202">
        <f t="shared" ca="1" si="3"/>
        <v>1</v>
      </c>
      <c r="Z11" s="204">
        <f t="shared" ca="1" si="3"/>
        <v>1</v>
      </c>
      <c r="AA11" s="202">
        <f t="shared" ca="1" si="3"/>
        <v>1</v>
      </c>
      <c r="AB11" s="202">
        <f t="shared" ca="1" si="3"/>
        <v>1</v>
      </c>
      <c r="AC11" s="202">
        <f t="shared" ca="1" si="3"/>
        <v>1</v>
      </c>
      <c r="AD11" s="202">
        <f t="shared" ca="1" si="3"/>
        <v>1</v>
      </c>
      <c r="AE11" s="203">
        <f t="shared" ca="1" si="3"/>
        <v>1</v>
      </c>
      <c r="AF11" s="202">
        <f t="shared" ca="1" si="3"/>
        <v>1</v>
      </c>
      <c r="AG11" s="205"/>
      <c r="AH11" s="188"/>
      <c r="AI11" s="206"/>
      <c r="AJ11" s="207"/>
      <c r="AK11" s="208"/>
      <c r="AL11" s="209"/>
      <c r="AM11" s="209"/>
      <c r="AN11" s="208"/>
      <c r="AO11" s="209"/>
      <c r="AP11" s="209"/>
      <c r="AQ11" s="201"/>
    </row>
    <row r="12" spans="1:43" s="59" customFormat="1" ht="12" hidden="1" customHeight="1" x14ac:dyDescent="0.2">
      <c r="A12" s="196" t="s">
        <v>169</v>
      </c>
      <c r="B12" s="210">
        <f t="shared" ref="B12:AF12" si="4">IF(OR(AND(ISNUMBER(EB.UJEintritt),EB.UJEintritt&gt;=B$10+1),AND(ISNUMBER(EB.UJAustritt),EB.UJAustritt&lt;=B$10-1)),0,1)</f>
        <v>1</v>
      </c>
      <c r="C12" s="210">
        <f t="shared" si="4"/>
        <v>1</v>
      </c>
      <c r="D12" s="210">
        <f t="shared" si="4"/>
        <v>1</v>
      </c>
      <c r="E12" s="195">
        <f t="shared" si="4"/>
        <v>1</v>
      </c>
      <c r="F12" s="210">
        <f t="shared" si="4"/>
        <v>1</v>
      </c>
      <c r="G12" s="210">
        <f t="shared" si="4"/>
        <v>1</v>
      </c>
      <c r="H12" s="210">
        <f t="shared" si="4"/>
        <v>1</v>
      </c>
      <c r="I12" s="210">
        <f t="shared" si="4"/>
        <v>1</v>
      </c>
      <c r="J12" s="195">
        <f t="shared" si="4"/>
        <v>1</v>
      </c>
      <c r="K12" s="210">
        <f t="shared" si="4"/>
        <v>1</v>
      </c>
      <c r="L12" s="195">
        <f t="shared" si="4"/>
        <v>1</v>
      </c>
      <c r="M12" s="210">
        <f t="shared" si="4"/>
        <v>1</v>
      </c>
      <c r="N12" s="210">
        <f t="shared" si="4"/>
        <v>1</v>
      </c>
      <c r="O12" s="210">
        <f t="shared" si="4"/>
        <v>1</v>
      </c>
      <c r="P12" s="210">
        <f t="shared" si="4"/>
        <v>1</v>
      </c>
      <c r="Q12" s="195">
        <f t="shared" si="4"/>
        <v>1</v>
      </c>
      <c r="R12" s="210">
        <f t="shared" si="4"/>
        <v>1</v>
      </c>
      <c r="S12" s="195">
        <f t="shared" si="4"/>
        <v>1</v>
      </c>
      <c r="T12" s="195">
        <f t="shared" si="4"/>
        <v>1</v>
      </c>
      <c r="U12" s="210">
        <f t="shared" si="4"/>
        <v>1</v>
      </c>
      <c r="V12" s="210">
        <f t="shared" si="4"/>
        <v>1</v>
      </c>
      <c r="W12" s="210">
        <f t="shared" si="4"/>
        <v>1</v>
      </c>
      <c r="X12" s="195">
        <f t="shared" si="4"/>
        <v>1</v>
      </c>
      <c r="Y12" s="210">
        <f t="shared" si="4"/>
        <v>1</v>
      </c>
      <c r="Z12" s="211">
        <f t="shared" si="4"/>
        <v>1</v>
      </c>
      <c r="AA12" s="210">
        <f t="shared" si="4"/>
        <v>1</v>
      </c>
      <c r="AB12" s="210">
        <f t="shared" si="4"/>
        <v>1</v>
      </c>
      <c r="AC12" s="210">
        <f t="shared" si="4"/>
        <v>1</v>
      </c>
      <c r="AD12" s="210">
        <f t="shared" si="4"/>
        <v>1</v>
      </c>
      <c r="AE12" s="195">
        <f t="shared" si="4"/>
        <v>1</v>
      </c>
      <c r="AF12" s="210">
        <f t="shared" si="4"/>
        <v>1</v>
      </c>
      <c r="AG12" s="205"/>
      <c r="AH12" s="188"/>
      <c r="AI12" s="206"/>
      <c r="AJ12" s="207"/>
      <c r="AK12" s="208"/>
      <c r="AL12" s="209"/>
      <c r="AM12" s="209"/>
      <c r="AN12" s="208"/>
      <c r="AO12" s="209"/>
      <c r="AP12" s="209"/>
      <c r="AQ12" s="201"/>
    </row>
    <row r="13" spans="1:43" s="38" customFormat="1" ht="15" customHeight="1" x14ac:dyDescent="0.2">
      <c r="A13" s="212" t="s">
        <v>74</v>
      </c>
      <c r="B13" s="40"/>
      <c r="C13" s="40"/>
      <c r="D13" s="40"/>
      <c r="E13" s="27"/>
      <c r="F13" s="40"/>
      <c r="G13" s="40"/>
      <c r="H13" s="40"/>
      <c r="I13" s="40"/>
      <c r="J13" s="27"/>
      <c r="K13" s="40"/>
      <c r="L13" s="27"/>
      <c r="M13" s="40"/>
      <c r="N13" s="40"/>
      <c r="O13" s="40"/>
      <c r="P13" s="40"/>
      <c r="Q13" s="27"/>
      <c r="R13" s="40"/>
      <c r="S13" s="27"/>
      <c r="T13" s="27"/>
      <c r="U13" s="40"/>
      <c r="V13" s="40"/>
      <c r="W13" s="40"/>
      <c r="X13" s="27"/>
      <c r="Y13" s="40"/>
      <c r="Z13" s="39"/>
      <c r="AA13" s="40"/>
      <c r="AB13" s="40"/>
      <c r="AC13" s="40"/>
      <c r="AD13" s="40"/>
      <c r="AE13" s="27"/>
      <c r="AF13" s="40"/>
      <c r="AG13" s="205" t="str">
        <f t="shared" si="2"/>
        <v>in</v>
      </c>
      <c r="AH13" s="188"/>
      <c r="AI13" s="206"/>
      <c r="AJ13" s="207"/>
      <c r="AK13" s="208"/>
      <c r="AL13" s="209"/>
      <c r="AM13" s="209"/>
      <c r="AN13" s="208"/>
      <c r="AO13" s="209"/>
      <c r="AP13" s="209"/>
      <c r="AQ13" s="119"/>
    </row>
    <row r="14" spans="1:43" s="38" customFormat="1" ht="15" customHeight="1" x14ac:dyDescent="0.2">
      <c r="A14" s="212" t="s">
        <v>75</v>
      </c>
      <c r="B14" s="40"/>
      <c r="C14" s="40"/>
      <c r="D14" s="40"/>
      <c r="E14" s="27"/>
      <c r="F14" s="40"/>
      <c r="G14" s="40"/>
      <c r="H14" s="40"/>
      <c r="I14" s="40"/>
      <c r="J14" s="27"/>
      <c r="K14" s="40"/>
      <c r="L14" s="27"/>
      <c r="M14" s="40"/>
      <c r="N14" s="40"/>
      <c r="O14" s="40"/>
      <c r="P14" s="40"/>
      <c r="Q14" s="27"/>
      <c r="R14" s="40"/>
      <c r="S14" s="27"/>
      <c r="T14" s="27"/>
      <c r="U14" s="40"/>
      <c r="V14" s="40"/>
      <c r="W14" s="40"/>
      <c r="X14" s="27"/>
      <c r="Y14" s="40"/>
      <c r="Z14" s="39"/>
      <c r="AA14" s="40"/>
      <c r="AB14" s="40"/>
      <c r="AC14" s="40"/>
      <c r="AD14" s="40"/>
      <c r="AE14" s="27"/>
      <c r="AF14" s="40"/>
      <c r="AG14" s="205" t="str">
        <f t="shared" si="2"/>
        <v>out</v>
      </c>
      <c r="AH14" s="188"/>
      <c r="AI14" s="206"/>
      <c r="AJ14" s="207"/>
      <c r="AK14" s="208"/>
      <c r="AL14" s="209"/>
      <c r="AM14" s="209"/>
      <c r="AN14" s="208"/>
      <c r="AO14" s="209"/>
      <c r="AP14" s="209"/>
      <c r="AQ14" s="119"/>
    </row>
    <row r="15" spans="1:43" s="38" customFormat="1" ht="15" customHeight="1" x14ac:dyDescent="0.2">
      <c r="A15" s="212" t="s">
        <v>74</v>
      </c>
      <c r="B15" s="40"/>
      <c r="C15" s="40"/>
      <c r="D15" s="40"/>
      <c r="E15" s="27"/>
      <c r="F15" s="40"/>
      <c r="G15" s="40"/>
      <c r="H15" s="40"/>
      <c r="I15" s="40"/>
      <c r="J15" s="27"/>
      <c r="K15" s="40"/>
      <c r="L15" s="27"/>
      <c r="M15" s="40"/>
      <c r="N15" s="40"/>
      <c r="O15" s="40"/>
      <c r="P15" s="40"/>
      <c r="Q15" s="27"/>
      <c r="R15" s="40"/>
      <c r="S15" s="27"/>
      <c r="T15" s="27"/>
      <c r="U15" s="40"/>
      <c r="V15" s="40"/>
      <c r="W15" s="40"/>
      <c r="X15" s="27"/>
      <c r="Y15" s="40"/>
      <c r="Z15" s="39"/>
      <c r="AA15" s="40"/>
      <c r="AB15" s="40"/>
      <c r="AC15" s="40"/>
      <c r="AD15" s="40"/>
      <c r="AE15" s="27"/>
      <c r="AF15" s="40"/>
      <c r="AG15" s="205" t="str">
        <f t="shared" si="2"/>
        <v>in</v>
      </c>
      <c r="AH15" s="188"/>
      <c r="AI15" s="206"/>
      <c r="AJ15" s="207"/>
      <c r="AK15" s="208"/>
      <c r="AL15" s="209"/>
      <c r="AM15" s="209"/>
      <c r="AN15" s="208"/>
      <c r="AO15" s="209"/>
      <c r="AP15" s="209"/>
      <c r="AQ15" s="119"/>
    </row>
    <row r="16" spans="1:43" s="38" customFormat="1" ht="15" customHeight="1" x14ac:dyDescent="0.2">
      <c r="A16" s="212" t="s">
        <v>75</v>
      </c>
      <c r="B16" s="40"/>
      <c r="C16" s="40"/>
      <c r="D16" s="40"/>
      <c r="E16" s="27"/>
      <c r="F16" s="40"/>
      <c r="G16" s="40"/>
      <c r="H16" s="40"/>
      <c r="I16" s="40"/>
      <c r="J16" s="27"/>
      <c r="K16" s="40"/>
      <c r="L16" s="27"/>
      <c r="M16" s="40"/>
      <c r="N16" s="40"/>
      <c r="O16" s="40"/>
      <c r="P16" s="40"/>
      <c r="Q16" s="27"/>
      <c r="R16" s="40"/>
      <c r="S16" s="27"/>
      <c r="T16" s="27"/>
      <c r="U16" s="40"/>
      <c r="V16" s="40"/>
      <c r="W16" s="40"/>
      <c r="X16" s="27"/>
      <c r="Y16" s="40"/>
      <c r="Z16" s="39"/>
      <c r="AA16" s="40"/>
      <c r="AB16" s="40"/>
      <c r="AC16" s="40"/>
      <c r="AD16" s="40"/>
      <c r="AE16" s="27"/>
      <c r="AF16" s="40"/>
      <c r="AG16" s="205" t="str">
        <f t="shared" si="2"/>
        <v>out</v>
      </c>
      <c r="AH16" s="188"/>
      <c r="AI16" s="213"/>
      <c r="AJ16" s="214"/>
      <c r="AK16" s="209"/>
      <c r="AL16" s="209"/>
      <c r="AM16" s="209"/>
      <c r="AN16" s="208"/>
      <c r="AO16" s="209"/>
      <c r="AP16" s="209"/>
      <c r="AQ16" s="119"/>
    </row>
    <row r="17" spans="1:43" s="38" customFormat="1" ht="15" customHeight="1" x14ac:dyDescent="0.2">
      <c r="A17" s="212" t="s">
        <v>74</v>
      </c>
      <c r="B17" s="40"/>
      <c r="C17" s="40"/>
      <c r="D17" s="40"/>
      <c r="E17" s="27"/>
      <c r="F17" s="40"/>
      <c r="G17" s="40"/>
      <c r="H17" s="40"/>
      <c r="I17" s="40"/>
      <c r="J17" s="27"/>
      <c r="K17" s="40"/>
      <c r="L17" s="27"/>
      <c r="M17" s="40"/>
      <c r="N17" s="40"/>
      <c r="O17" s="40"/>
      <c r="P17" s="40"/>
      <c r="Q17" s="27"/>
      <c r="R17" s="40"/>
      <c r="S17" s="27"/>
      <c r="T17" s="27"/>
      <c r="U17" s="40"/>
      <c r="V17" s="40"/>
      <c r="W17" s="40"/>
      <c r="X17" s="27"/>
      <c r="Y17" s="40"/>
      <c r="Z17" s="39"/>
      <c r="AA17" s="40"/>
      <c r="AB17" s="40"/>
      <c r="AC17" s="40"/>
      <c r="AD17" s="40"/>
      <c r="AE17" s="27"/>
      <c r="AF17" s="40"/>
      <c r="AG17" s="205" t="str">
        <f t="shared" si="2"/>
        <v>in</v>
      </c>
      <c r="AH17" s="188"/>
      <c r="AI17" s="213"/>
      <c r="AJ17" s="214"/>
      <c r="AK17" s="209"/>
      <c r="AL17" s="209"/>
      <c r="AM17" s="209"/>
      <c r="AN17" s="208"/>
      <c r="AO17" s="209"/>
      <c r="AP17" s="209"/>
      <c r="AQ17" s="119"/>
    </row>
    <row r="18" spans="1:43" s="38" customFormat="1" ht="15" customHeight="1" x14ac:dyDescent="0.2">
      <c r="A18" s="212" t="s">
        <v>75</v>
      </c>
      <c r="B18" s="40"/>
      <c r="C18" s="40"/>
      <c r="D18" s="40"/>
      <c r="E18" s="27"/>
      <c r="F18" s="40"/>
      <c r="G18" s="40"/>
      <c r="H18" s="40"/>
      <c r="I18" s="40"/>
      <c r="J18" s="27"/>
      <c r="K18" s="40"/>
      <c r="L18" s="27"/>
      <c r="M18" s="40"/>
      <c r="N18" s="40"/>
      <c r="O18" s="40"/>
      <c r="P18" s="40"/>
      <c r="Q18" s="27"/>
      <c r="R18" s="40"/>
      <c r="S18" s="27"/>
      <c r="T18" s="27"/>
      <c r="U18" s="40"/>
      <c r="V18" s="40"/>
      <c r="W18" s="40"/>
      <c r="X18" s="27"/>
      <c r="Y18" s="40"/>
      <c r="Z18" s="39"/>
      <c r="AA18" s="40"/>
      <c r="AB18" s="40"/>
      <c r="AC18" s="40"/>
      <c r="AD18" s="40"/>
      <c r="AE18" s="27"/>
      <c r="AF18" s="40"/>
      <c r="AG18" s="205" t="str">
        <f t="shared" si="2"/>
        <v>out</v>
      </c>
      <c r="AH18" s="188"/>
      <c r="AI18" s="213"/>
      <c r="AJ18" s="214"/>
      <c r="AK18" s="209"/>
      <c r="AL18" s="209"/>
      <c r="AM18" s="209"/>
      <c r="AN18" s="208"/>
      <c r="AO18" s="209"/>
      <c r="AP18" s="209"/>
      <c r="AQ18" s="119"/>
    </row>
    <row r="19" spans="1:43" s="38" customFormat="1" ht="15" hidden="1" customHeight="1" outlineLevel="1" x14ac:dyDescent="0.2">
      <c r="A19" s="212" t="s">
        <v>74</v>
      </c>
      <c r="B19" s="40"/>
      <c r="C19" s="40"/>
      <c r="D19" s="40"/>
      <c r="E19" s="27"/>
      <c r="F19" s="40"/>
      <c r="G19" s="40"/>
      <c r="H19" s="40"/>
      <c r="I19" s="40"/>
      <c r="J19" s="27"/>
      <c r="K19" s="40"/>
      <c r="L19" s="27"/>
      <c r="M19" s="40"/>
      <c r="N19" s="40"/>
      <c r="O19" s="40"/>
      <c r="P19" s="40"/>
      <c r="Q19" s="27"/>
      <c r="R19" s="40"/>
      <c r="S19" s="27"/>
      <c r="T19" s="27"/>
      <c r="U19" s="40"/>
      <c r="V19" s="40"/>
      <c r="W19" s="40"/>
      <c r="X19" s="27"/>
      <c r="Y19" s="40"/>
      <c r="Z19" s="39"/>
      <c r="AA19" s="40"/>
      <c r="AB19" s="40"/>
      <c r="AC19" s="40"/>
      <c r="AD19" s="40"/>
      <c r="AE19" s="27"/>
      <c r="AF19" s="40"/>
      <c r="AG19" s="205" t="str">
        <f t="shared" si="2"/>
        <v>in</v>
      </c>
      <c r="AH19" s="188"/>
      <c r="AI19" s="213"/>
      <c r="AJ19" s="214"/>
      <c r="AK19" s="209"/>
      <c r="AL19" s="209"/>
      <c r="AM19" s="209"/>
      <c r="AN19" s="208"/>
      <c r="AO19" s="209"/>
      <c r="AP19" s="209"/>
      <c r="AQ19" s="119"/>
    </row>
    <row r="20" spans="1:43" s="38" customFormat="1" ht="15" hidden="1" customHeight="1" outlineLevel="1" x14ac:dyDescent="0.2">
      <c r="A20" s="212" t="s">
        <v>75</v>
      </c>
      <c r="B20" s="40"/>
      <c r="C20" s="40"/>
      <c r="D20" s="40"/>
      <c r="E20" s="27"/>
      <c r="F20" s="40"/>
      <c r="G20" s="40"/>
      <c r="H20" s="40"/>
      <c r="I20" s="40"/>
      <c r="J20" s="27"/>
      <c r="K20" s="40"/>
      <c r="L20" s="27"/>
      <c r="M20" s="40"/>
      <c r="N20" s="40"/>
      <c r="O20" s="40"/>
      <c r="P20" s="40"/>
      <c r="Q20" s="27"/>
      <c r="R20" s="40"/>
      <c r="S20" s="27"/>
      <c r="T20" s="27"/>
      <c r="U20" s="40"/>
      <c r="V20" s="40"/>
      <c r="W20" s="40"/>
      <c r="X20" s="27"/>
      <c r="Y20" s="40"/>
      <c r="Z20" s="39"/>
      <c r="AA20" s="40"/>
      <c r="AB20" s="40"/>
      <c r="AC20" s="40"/>
      <c r="AD20" s="40"/>
      <c r="AE20" s="27"/>
      <c r="AF20" s="40"/>
      <c r="AG20" s="205" t="str">
        <f t="shared" si="2"/>
        <v>out</v>
      </c>
      <c r="AH20" s="188"/>
      <c r="AI20" s="213"/>
      <c r="AJ20" s="214"/>
      <c r="AK20" s="209"/>
      <c r="AL20" s="209"/>
      <c r="AM20" s="209"/>
      <c r="AN20" s="208"/>
      <c r="AO20" s="209"/>
      <c r="AP20" s="209"/>
      <c r="AQ20" s="119"/>
    </row>
    <row r="21" spans="1:43" s="38" customFormat="1" ht="15" hidden="1" customHeight="1" outlineLevel="1" x14ac:dyDescent="0.2">
      <c r="A21" s="212" t="s">
        <v>74</v>
      </c>
      <c r="B21" s="40"/>
      <c r="C21" s="40"/>
      <c r="D21" s="40"/>
      <c r="E21" s="27"/>
      <c r="F21" s="40"/>
      <c r="G21" s="40"/>
      <c r="H21" s="40"/>
      <c r="I21" s="40"/>
      <c r="J21" s="27"/>
      <c r="K21" s="40"/>
      <c r="L21" s="27"/>
      <c r="M21" s="40"/>
      <c r="N21" s="40"/>
      <c r="O21" s="40"/>
      <c r="P21" s="40"/>
      <c r="Q21" s="27"/>
      <c r="R21" s="40"/>
      <c r="S21" s="27"/>
      <c r="T21" s="27"/>
      <c r="U21" s="40"/>
      <c r="V21" s="40"/>
      <c r="W21" s="40"/>
      <c r="X21" s="27"/>
      <c r="Y21" s="40"/>
      <c r="Z21" s="39"/>
      <c r="AA21" s="40"/>
      <c r="AB21" s="40"/>
      <c r="AC21" s="40"/>
      <c r="AD21" s="40"/>
      <c r="AE21" s="27"/>
      <c r="AF21" s="40"/>
      <c r="AG21" s="205" t="str">
        <f t="shared" si="2"/>
        <v>in</v>
      </c>
      <c r="AH21" s="188"/>
      <c r="AI21" s="213"/>
      <c r="AJ21" s="214"/>
      <c r="AK21" s="209"/>
      <c r="AL21" s="209"/>
      <c r="AM21" s="209"/>
      <c r="AN21" s="208"/>
      <c r="AO21" s="209"/>
      <c r="AP21" s="209"/>
      <c r="AQ21" s="119"/>
    </row>
    <row r="22" spans="1:43" s="38" customFormat="1" ht="15" hidden="1" customHeight="1" outlineLevel="1" x14ac:dyDescent="0.2">
      <c r="A22" s="212" t="s">
        <v>75</v>
      </c>
      <c r="B22" s="40"/>
      <c r="C22" s="40"/>
      <c r="D22" s="40"/>
      <c r="E22" s="27"/>
      <c r="F22" s="40"/>
      <c r="G22" s="40"/>
      <c r="H22" s="40"/>
      <c r="I22" s="40"/>
      <c r="J22" s="27"/>
      <c r="K22" s="40"/>
      <c r="L22" s="27"/>
      <c r="M22" s="40"/>
      <c r="N22" s="40"/>
      <c r="O22" s="40"/>
      <c r="P22" s="40"/>
      <c r="Q22" s="27"/>
      <c r="R22" s="40"/>
      <c r="S22" s="27"/>
      <c r="T22" s="27"/>
      <c r="U22" s="40"/>
      <c r="V22" s="40"/>
      <c r="W22" s="40"/>
      <c r="X22" s="27"/>
      <c r="Y22" s="40"/>
      <c r="Z22" s="39"/>
      <c r="AA22" s="40"/>
      <c r="AB22" s="40"/>
      <c r="AC22" s="40"/>
      <c r="AD22" s="40"/>
      <c r="AE22" s="27"/>
      <c r="AF22" s="40"/>
      <c r="AG22" s="205" t="str">
        <f t="shared" si="2"/>
        <v>out</v>
      </c>
      <c r="AH22" s="188"/>
      <c r="AI22" s="213"/>
      <c r="AJ22" s="214"/>
      <c r="AK22" s="209"/>
      <c r="AL22" s="209"/>
      <c r="AM22" s="209"/>
      <c r="AN22" s="208"/>
      <c r="AO22" s="209"/>
      <c r="AP22" s="209"/>
      <c r="AQ22" s="119"/>
    </row>
    <row r="23" spans="1:43" s="38" customFormat="1" ht="15" customHeight="1" collapsed="1" x14ac:dyDescent="0.2">
      <c r="A23" s="215" t="s">
        <v>204</v>
      </c>
      <c r="B23" s="216">
        <f>ROUND(((B14-B13)+(B16-B15)+(B18-B17)+(B20-B19)+(B22-B21))*1440,0)/1440</f>
        <v>0</v>
      </c>
      <c r="C23" s="216">
        <f t="shared" ref="C23:AF23" si="5">ROUND(((C14-C13)+(C16-C15)+(C18-C17)+(C20-C19)+(C22-C21))*1440,0)/1440</f>
        <v>0</v>
      </c>
      <c r="D23" s="216">
        <f t="shared" si="5"/>
        <v>0</v>
      </c>
      <c r="E23" s="216">
        <f t="shared" si="5"/>
        <v>0</v>
      </c>
      <c r="F23" s="216">
        <f t="shared" si="5"/>
        <v>0</v>
      </c>
      <c r="G23" s="216">
        <f t="shared" si="5"/>
        <v>0</v>
      </c>
      <c r="H23" s="216">
        <f t="shared" si="5"/>
        <v>0</v>
      </c>
      <c r="I23" s="216">
        <f t="shared" si="5"/>
        <v>0</v>
      </c>
      <c r="J23" s="216">
        <f t="shared" si="5"/>
        <v>0</v>
      </c>
      <c r="K23" s="216">
        <f t="shared" si="5"/>
        <v>0</v>
      </c>
      <c r="L23" s="216">
        <f t="shared" si="5"/>
        <v>0</v>
      </c>
      <c r="M23" s="216">
        <f t="shared" si="5"/>
        <v>0</v>
      </c>
      <c r="N23" s="216">
        <f t="shared" si="5"/>
        <v>0</v>
      </c>
      <c r="O23" s="216">
        <f t="shared" si="5"/>
        <v>0</v>
      </c>
      <c r="P23" s="216">
        <f t="shared" si="5"/>
        <v>0</v>
      </c>
      <c r="Q23" s="216">
        <f t="shared" si="5"/>
        <v>0</v>
      </c>
      <c r="R23" s="216">
        <f t="shared" si="5"/>
        <v>0</v>
      </c>
      <c r="S23" s="216">
        <f t="shared" si="5"/>
        <v>0</v>
      </c>
      <c r="T23" s="216">
        <f t="shared" si="5"/>
        <v>0</v>
      </c>
      <c r="U23" s="216">
        <f t="shared" si="5"/>
        <v>0</v>
      </c>
      <c r="V23" s="216">
        <f t="shared" si="5"/>
        <v>0</v>
      </c>
      <c r="W23" s="216">
        <f t="shared" si="5"/>
        <v>0</v>
      </c>
      <c r="X23" s="216">
        <f t="shared" si="5"/>
        <v>0</v>
      </c>
      <c r="Y23" s="216">
        <f t="shared" si="5"/>
        <v>0</v>
      </c>
      <c r="Z23" s="216">
        <f t="shared" si="5"/>
        <v>0</v>
      </c>
      <c r="AA23" s="216">
        <f t="shared" si="5"/>
        <v>0</v>
      </c>
      <c r="AB23" s="216">
        <f t="shared" si="5"/>
        <v>0</v>
      </c>
      <c r="AC23" s="216">
        <f t="shared" si="5"/>
        <v>0</v>
      </c>
      <c r="AD23" s="216">
        <f t="shared" si="5"/>
        <v>0</v>
      </c>
      <c r="AE23" s="216">
        <f t="shared" si="5"/>
        <v>0</v>
      </c>
      <c r="AF23" s="216">
        <f t="shared" si="5"/>
        <v>0</v>
      </c>
      <c r="AG23" s="217" t="str">
        <f t="shared" si="2"/>
        <v>Total in/out</v>
      </c>
      <c r="AH23" s="218"/>
      <c r="AI23" s="219">
        <f>SUM(B23:AF23)</f>
        <v>0</v>
      </c>
      <c r="AJ23" s="214"/>
      <c r="AK23" s="209"/>
      <c r="AL23" s="209"/>
      <c r="AM23" s="209"/>
      <c r="AN23" s="208"/>
      <c r="AO23" s="209"/>
      <c r="AP23" s="209"/>
      <c r="AQ23" s="119"/>
    </row>
    <row r="24" spans="1:43" s="38" customFormat="1" ht="3.75" hidden="1" customHeight="1" outlineLevel="1" x14ac:dyDescent="0.2">
      <c r="A24" s="220"/>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2"/>
      <c r="AG24" s="205"/>
      <c r="AH24" s="188"/>
      <c r="AI24" s="213"/>
      <c r="AJ24" s="214"/>
      <c r="AK24" s="209"/>
      <c r="AL24" s="209"/>
      <c r="AM24" s="209"/>
      <c r="AN24" s="208"/>
      <c r="AO24" s="209"/>
      <c r="AP24" s="209"/>
      <c r="AQ24" s="119"/>
    </row>
    <row r="25" spans="1:43" s="38" customFormat="1" ht="15" hidden="1" customHeight="1" outlineLevel="1" x14ac:dyDescent="0.2">
      <c r="A25" s="212" t="s">
        <v>164</v>
      </c>
      <c r="B25" s="40"/>
      <c r="C25" s="40"/>
      <c r="D25" s="40"/>
      <c r="E25" s="77"/>
      <c r="F25" s="40"/>
      <c r="G25" s="40"/>
      <c r="H25" s="40"/>
      <c r="I25" s="40"/>
      <c r="J25" s="40"/>
      <c r="K25" s="40"/>
      <c r="L25" s="40"/>
      <c r="M25" s="40"/>
      <c r="N25" s="40"/>
      <c r="O25" s="40"/>
      <c r="P25" s="40"/>
      <c r="Q25" s="40"/>
      <c r="R25" s="40"/>
      <c r="S25" s="40"/>
      <c r="T25" s="40"/>
      <c r="U25" s="40"/>
      <c r="V25" s="40"/>
      <c r="W25" s="40"/>
      <c r="X25" s="40"/>
      <c r="Y25" s="40"/>
      <c r="Z25" s="47"/>
      <c r="AA25" s="40"/>
      <c r="AB25" s="40"/>
      <c r="AC25" s="40"/>
      <c r="AD25" s="40"/>
      <c r="AE25" s="40"/>
      <c r="AF25" s="40"/>
      <c r="AG25" s="205" t="str">
        <f t="shared" ref="AG25:AG30" si="6">A25</f>
        <v>paid break in</v>
      </c>
      <c r="AH25" s="188"/>
      <c r="AI25" s="213"/>
      <c r="AJ25" s="214"/>
      <c r="AK25" s="209"/>
      <c r="AL25" s="209"/>
      <c r="AM25" s="209"/>
      <c r="AN25" s="208"/>
      <c r="AO25" s="209"/>
      <c r="AP25" s="209"/>
      <c r="AQ25" s="119"/>
    </row>
    <row r="26" spans="1:43" s="38" customFormat="1" ht="15" hidden="1" customHeight="1" outlineLevel="1" x14ac:dyDescent="0.2">
      <c r="A26" s="212" t="s">
        <v>165</v>
      </c>
      <c r="B26" s="40"/>
      <c r="C26" s="40"/>
      <c r="D26" s="40"/>
      <c r="E26" s="40"/>
      <c r="F26" s="40"/>
      <c r="G26" s="40"/>
      <c r="H26" s="40"/>
      <c r="I26" s="40"/>
      <c r="J26" s="40"/>
      <c r="K26" s="40"/>
      <c r="L26" s="40"/>
      <c r="M26" s="40"/>
      <c r="N26" s="40"/>
      <c r="O26" s="40"/>
      <c r="P26" s="40"/>
      <c r="Q26" s="40"/>
      <c r="R26" s="40"/>
      <c r="S26" s="40"/>
      <c r="T26" s="40"/>
      <c r="U26" s="40"/>
      <c r="V26" s="40"/>
      <c r="W26" s="40"/>
      <c r="X26" s="40"/>
      <c r="Y26" s="40"/>
      <c r="Z26" s="47"/>
      <c r="AA26" s="40"/>
      <c r="AB26" s="40"/>
      <c r="AC26" s="40"/>
      <c r="AD26" s="40"/>
      <c r="AE26" s="40"/>
      <c r="AF26" s="40"/>
      <c r="AG26" s="205" t="str">
        <f t="shared" si="6"/>
        <v>paid break out</v>
      </c>
      <c r="AH26" s="188"/>
      <c r="AI26" s="213"/>
      <c r="AJ26" s="214"/>
      <c r="AK26" s="209"/>
      <c r="AL26" s="209"/>
      <c r="AM26" s="209"/>
      <c r="AN26" s="208"/>
      <c r="AO26" s="209"/>
      <c r="AP26" s="209"/>
      <c r="AQ26" s="119"/>
    </row>
    <row r="27" spans="1:43" s="38" customFormat="1" ht="15" hidden="1" customHeight="1" outlineLevel="1" x14ac:dyDescent="0.2">
      <c r="A27" s="212" t="s">
        <v>164</v>
      </c>
      <c r="B27" s="40"/>
      <c r="C27" s="40"/>
      <c r="D27" s="40"/>
      <c r="E27" s="40"/>
      <c r="F27" s="40"/>
      <c r="G27" s="40"/>
      <c r="H27" s="40"/>
      <c r="I27" s="40"/>
      <c r="J27" s="40"/>
      <c r="K27" s="40"/>
      <c r="L27" s="40"/>
      <c r="M27" s="40"/>
      <c r="N27" s="40"/>
      <c r="O27" s="40"/>
      <c r="P27" s="40"/>
      <c r="Q27" s="40"/>
      <c r="R27" s="40"/>
      <c r="S27" s="40"/>
      <c r="T27" s="40"/>
      <c r="U27" s="40"/>
      <c r="V27" s="40"/>
      <c r="W27" s="40"/>
      <c r="X27" s="40"/>
      <c r="Y27" s="40"/>
      <c r="Z27" s="47"/>
      <c r="AA27" s="40"/>
      <c r="AB27" s="40"/>
      <c r="AC27" s="40"/>
      <c r="AD27" s="40"/>
      <c r="AE27" s="40"/>
      <c r="AF27" s="40"/>
      <c r="AG27" s="205" t="str">
        <f t="shared" si="6"/>
        <v>paid break in</v>
      </c>
      <c r="AH27" s="188"/>
      <c r="AI27" s="213"/>
      <c r="AJ27" s="214"/>
      <c r="AK27" s="209"/>
      <c r="AL27" s="209"/>
      <c r="AM27" s="209"/>
      <c r="AN27" s="208"/>
      <c r="AO27" s="209"/>
      <c r="AP27" s="209"/>
      <c r="AQ27" s="119"/>
    </row>
    <row r="28" spans="1:43" s="38" customFormat="1" ht="15" hidden="1" customHeight="1" outlineLevel="1" x14ac:dyDescent="0.2">
      <c r="A28" s="212" t="s">
        <v>165</v>
      </c>
      <c r="B28" s="40"/>
      <c r="C28" s="40"/>
      <c r="D28" s="40"/>
      <c r="E28" s="40"/>
      <c r="F28" s="40"/>
      <c r="G28" s="40"/>
      <c r="H28" s="40"/>
      <c r="I28" s="40"/>
      <c r="J28" s="40"/>
      <c r="K28" s="40"/>
      <c r="L28" s="40"/>
      <c r="M28" s="40"/>
      <c r="N28" s="40"/>
      <c r="O28" s="40"/>
      <c r="P28" s="40"/>
      <c r="Q28" s="40"/>
      <c r="R28" s="40"/>
      <c r="S28" s="40"/>
      <c r="T28" s="40"/>
      <c r="U28" s="40"/>
      <c r="V28" s="40"/>
      <c r="W28" s="40"/>
      <c r="X28" s="40"/>
      <c r="Y28" s="40"/>
      <c r="Z28" s="47"/>
      <c r="AA28" s="40"/>
      <c r="AB28" s="40"/>
      <c r="AC28" s="40"/>
      <c r="AD28" s="40"/>
      <c r="AE28" s="40"/>
      <c r="AF28" s="40"/>
      <c r="AG28" s="205" t="str">
        <f t="shared" si="6"/>
        <v>paid break out</v>
      </c>
      <c r="AH28" s="188"/>
      <c r="AI28" s="213"/>
      <c r="AJ28" s="214"/>
      <c r="AK28" s="209"/>
      <c r="AL28" s="209"/>
      <c r="AM28" s="209"/>
      <c r="AN28" s="208"/>
      <c r="AO28" s="209"/>
      <c r="AP28" s="209"/>
      <c r="AQ28" s="119"/>
    </row>
    <row r="29" spans="1:43" s="38" customFormat="1" ht="15" hidden="1" customHeight="1" outlineLevel="1" x14ac:dyDescent="0.2">
      <c r="A29" s="212" t="s">
        <v>164</v>
      </c>
      <c r="B29" s="40"/>
      <c r="C29" s="40"/>
      <c r="D29" s="40"/>
      <c r="E29" s="40"/>
      <c r="F29" s="40"/>
      <c r="G29" s="40"/>
      <c r="H29" s="40"/>
      <c r="I29" s="40"/>
      <c r="J29" s="40"/>
      <c r="K29" s="40"/>
      <c r="L29" s="40"/>
      <c r="M29" s="40"/>
      <c r="N29" s="40"/>
      <c r="O29" s="40"/>
      <c r="P29" s="40"/>
      <c r="Q29" s="40"/>
      <c r="R29" s="40"/>
      <c r="S29" s="40"/>
      <c r="T29" s="40"/>
      <c r="U29" s="40"/>
      <c r="V29" s="40"/>
      <c r="W29" s="40"/>
      <c r="X29" s="40"/>
      <c r="Y29" s="40"/>
      <c r="Z29" s="47"/>
      <c r="AA29" s="40"/>
      <c r="AB29" s="40"/>
      <c r="AC29" s="40"/>
      <c r="AD29" s="40"/>
      <c r="AE29" s="40"/>
      <c r="AF29" s="40"/>
      <c r="AG29" s="205" t="str">
        <f t="shared" si="6"/>
        <v>paid break in</v>
      </c>
      <c r="AH29" s="188"/>
      <c r="AI29" s="213"/>
      <c r="AJ29" s="214"/>
      <c r="AK29" s="209"/>
      <c r="AL29" s="209"/>
      <c r="AM29" s="209"/>
      <c r="AN29" s="208"/>
      <c r="AO29" s="209"/>
      <c r="AP29" s="209"/>
      <c r="AQ29" s="119"/>
    </row>
    <row r="30" spans="1:43" s="38" customFormat="1" ht="15" hidden="1" customHeight="1" outlineLevel="1" x14ac:dyDescent="0.2">
      <c r="A30" s="212" t="s">
        <v>165</v>
      </c>
      <c r="B30" s="40"/>
      <c r="C30" s="40"/>
      <c r="D30" s="40"/>
      <c r="E30" s="40"/>
      <c r="F30" s="40"/>
      <c r="G30" s="40"/>
      <c r="H30" s="40"/>
      <c r="I30" s="40"/>
      <c r="J30" s="40"/>
      <c r="K30" s="40"/>
      <c r="L30" s="40"/>
      <c r="M30" s="40"/>
      <c r="N30" s="40"/>
      <c r="O30" s="40"/>
      <c r="P30" s="40"/>
      <c r="Q30" s="40"/>
      <c r="R30" s="40"/>
      <c r="S30" s="40"/>
      <c r="T30" s="40"/>
      <c r="U30" s="40"/>
      <c r="V30" s="40"/>
      <c r="W30" s="40"/>
      <c r="X30" s="40"/>
      <c r="Y30" s="40"/>
      <c r="Z30" s="47"/>
      <c r="AA30" s="40"/>
      <c r="AB30" s="40"/>
      <c r="AC30" s="40"/>
      <c r="AD30" s="40"/>
      <c r="AE30" s="40"/>
      <c r="AF30" s="40"/>
      <c r="AG30" s="205" t="str">
        <f t="shared" si="6"/>
        <v>paid break out</v>
      </c>
      <c r="AH30" s="188"/>
      <c r="AI30" s="213"/>
      <c r="AJ30" s="214"/>
      <c r="AK30" s="209"/>
      <c r="AL30" s="209"/>
      <c r="AM30" s="209"/>
      <c r="AN30" s="208"/>
      <c r="AO30" s="209"/>
      <c r="AP30" s="209"/>
      <c r="AQ30" s="119"/>
    </row>
    <row r="31" spans="1:43" s="38" customFormat="1" ht="3.75" hidden="1" customHeight="1" outlineLevel="1" x14ac:dyDescent="0.2">
      <c r="A31" s="220"/>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4"/>
      <c r="AG31" s="205"/>
      <c r="AH31" s="188"/>
      <c r="AI31" s="213"/>
      <c r="AJ31" s="214"/>
      <c r="AK31" s="209"/>
      <c r="AL31" s="209"/>
      <c r="AM31" s="209"/>
      <c r="AN31" s="208"/>
      <c r="AO31" s="209"/>
      <c r="AP31" s="209"/>
      <c r="AQ31" s="119"/>
    </row>
    <row r="32" spans="1:43" s="38" customFormat="1" ht="15" hidden="1" customHeight="1" outlineLevel="1" x14ac:dyDescent="0.2">
      <c r="A32" s="215" t="s">
        <v>205</v>
      </c>
      <c r="B32" s="225">
        <f>ROUND((IF(MAX(0,B15-B14)&lt;1/24/60*180,MAX(0,B15-B14),0)+IF(MAX(0,B17-B16)&lt;1/24/60*180,MAX(0,B17-B16),0)+IF(MAX(0,B19-B18)&lt;1/24/60*180,MAX(0,B19-B18),0)+IF(MAX(0,B21-B20)&lt;1/24/60*180,MAX(0,B21-B20))+MAX(0,B26-B25)+MAX(0,B28-B27)+MAX(0,B30-B29))*1440,0)/1440</f>
        <v>0</v>
      </c>
      <c r="C32" s="225">
        <f t="shared" ref="C32:AF32" si="7">ROUND((IF(MAX(0,C15-C14)&lt;1/24/60*180,MAX(0,C15-C14),0)+IF(MAX(0,C17-C16)&lt;1/24/60*180,MAX(0,C17-C16),0)+IF(MAX(0,C19-C18)&lt;1/24/60*180,MAX(0,C19-C18),0)+IF(MAX(0,C21-C20)&lt;1/24/60*180,MAX(0,C21-C20))+MAX(0,C26-C25)+MAX(0,C28-C27)+MAX(0,C30-C29))*1440,0)/1440</f>
        <v>0</v>
      </c>
      <c r="D32" s="225">
        <f t="shared" si="7"/>
        <v>0</v>
      </c>
      <c r="E32" s="225">
        <f t="shared" si="7"/>
        <v>0</v>
      </c>
      <c r="F32" s="225">
        <f t="shared" si="7"/>
        <v>0</v>
      </c>
      <c r="G32" s="225">
        <f t="shared" si="7"/>
        <v>0</v>
      </c>
      <c r="H32" s="225">
        <f t="shared" si="7"/>
        <v>0</v>
      </c>
      <c r="I32" s="225">
        <f t="shared" si="7"/>
        <v>0</v>
      </c>
      <c r="J32" s="225">
        <f t="shared" si="7"/>
        <v>0</v>
      </c>
      <c r="K32" s="225">
        <f t="shared" si="7"/>
        <v>0</v>
      </c>
      <c r="L32" s="225">
        <f t="shared" si="7"/>
        <v>0</v>
      </c>
      <c r="M32" s="225">
        <f t="shared" si="7"/>
        <v>0</v>
      </c>
      <c r="N32" s="225">
        <f t="shared" si="7"/>
        <v>0</v>
      </c>
      <c r="O32" s="225">
        <f t="shared" si="7"/>
        <v>0</v>
      </c>
      <c r="P32" s="225">
        <f t="shared" si="7"/>
        <v>0</v>
      </c>
      <c r="Q32" s="225">
        <f t="shared" si="7"/>
        <v>0</v>
      </c>
      <c r="R32" s="225">
        <f t="shared" si="7"/>
        <v>0</v>
      </c>
      <c r="S32" s="225">
        <f t="shared" si="7"/>
        <v>0</v>
      </c>
      <c r="T32" s="225">
        <f t="shared" si="7"/>
        <v>0</v>
      </c>
      <c r="U32" s="225">
        <f t="shared" si="7"/>
        <v>0</v>
      </c>
      <c r="V32" s="225">
        <f t="shared" si="7"/>
        <v>0</v>
      </c>
      <c r="W32" s="225">
        <f t="shared" si="7"/>
        <v>0</v>
      </c>
      <c r="X32" s="225">
        <f t="shared" si="7"/>
        <v>0</v>
      </c>
      <c r="Y32" s="225">
        <f t="shared" si="7"/>
        <v>0</v>
      </c>
      <c r="Z32" s="225">
        <f t="shared" si="7"/>
        <v>0</v>
      </c>
      <c r="AA32" s="225">
        <f t="shared" si="7"/>
        <v>0</v>
      </c>
      <c r="AB32" s="225">
        <f t="shared" si="7"/>
        <v>0</v>
      </c>
      <c r="AC32" s="225">
        <f t="shared" si="7"/>
        <v>0</v>
      </c>
      <c r="AD32" s="225">
        <f t="shared" si="7"/>
        <v>0</v>
      </c>
      <c r="AE32" s="225">
        <f t="shared" si="7"/>
        <v>0</v>
      </c>
      <c r="AF32" s="225">
        <f t="shared" si="7"/>
        <v>0</v>
      </c>
      <c r="AG32" s="217" t="str">
        <f t="shared" ref="AG32" si="8">A32</f>
        <v>Total breaks (in out/paid)</v>
      </c>
      <c r="AH32" s="218"/>
      <c r="AI32" s="219">
        <f>SUM(B32:AF32)</f>
        <v>0</v>
      </c>
      <c r="AJ32" s="214"/>
      <c r="AK32" s="209"/>
      <c r="AL32" s="209"/>
      <c r="AM32" s="209"/>
      <c r="AN32" s="208"/>
      <c r="AO32" s="209"/>
      <c r="AP32" s="209"/>
      <c r="AQ32" s="119"/>
    </row>
    <row r="33" spans="1:43" s="38" customFormat="1" ht="3.75" customHeight="1" collapsed="1" x14ac:dyDescent="0.2">
      <c r="A33" s="220"/>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7"/>
      <c r="AG33" s="205"/>
      <c r="AH33" s="188"/>
      <c r="AI33" s="213"/>
      <c r="AJ33" s="214"/>
      <c r="AK33" s="209"/>
      <c r="AL33" s="209"/>
      <c r="AM33" s="209"/>
      <c r="AN33" s="208"/>
      <c r="AO33" s="209"/>
      <c r="AP33" s="209"/>
      <c r="AQ33" s="119"/>
    </row>
    <row r="34" spans="1:43" s="38" customFormat="1" ht="15" customHeight="1" outlineLevel="1" x14ac:dyDescent="0.2">
      <c r="A34" s="212" t="s">
        <v>206</v>
      </c>
      <c r="B34" s="92" t="str">
        <f ca="1">IF(EB.Anwendung&lt;&gt;"",IF(EB.Wochenarbeitszeit=50/24,INDEX(T.Pikett.Bereich,1),IF(DAY(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34="B",INDEX(T.Pikett.Bereich,4),IF(A34="E",INDEX(T.Pikett.Bereich,1),A34)))),"")</f>
        <v>No</v>
      </c>
      <c r="C34" s="92" t="str">
        <f ca="1">IF(EB.Anwendung&lt;&gt;"",IF(EB.Wochenarbeitszeit=50/24,INDEX(T.Pikett.Bereich,1),IF(DAY(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B34="B",INDEX(T.Pikett.Bereich,4),IF(B34="E",INDEX(T.Pikett.Bereich,1),B34)))),"")</f>
        <v>No</v>
      </c>
      <c r="D34" s="92" t="str">
        <f ca="1">IF(EB.Anwendung&lt;&gt;"",IF(EB.Wochenarbeitszeit=50/24,INDEX(T.Pikett.Bereich,1),IF(DAY(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C34="B",INDEX(T.Pikett.Bereich,4),IF(C34="E",INDEX(T.Pikett.Bereich,1),C34)))),"")</f>
        <v>No</v>
      </c>
      <c r="E34" s="92" t="str">
        <f ca="1">IF(EB.Anwendung&lt;&gt;"",IF(EB.Wochenarbeitszeit=50/24,INDEX(T.Pikett.Bereich,1),IF(DAY(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D34="B",INDEX(T.Pikett.Bereich,4),IF(D34="E",INDEX(T.Pikett.Bereich,1),D34)))),"")</f>
        <v>No</v>
      </c>
      <c r="F34" s="92" t="str">
        <f ca="1">IF(EB.Anwendung&lt;&gt;"",IF(EB.Wochenarbeitszeit=50/24,INDEX(T.Pikett.Bereich,1),IF(DAY(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E34="B",INDEX(T.Pikett.Bereich,4),IF(E34="E",INDEX(T.Pikett.Bereich,1),E34)))),"")</f>
        <v>No</v>
      </c>
      <c r="G34" s="92" t="str">
        <f ca="1">IF(EB.Anwendung&lt;&gt;"",IF(EB.Wochenarbeitszeit=50/24,INDEX(T.Pikett.Bereich,1),IF(DAY(G$10)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F34="B",INDEX(T.Pikett.Bereich,4),IF(F34="E",INDEX(T.Pikett.Bereich,1),F34)))),"")</f>
        <v>No</v>
      </c>
      <c r="H34" s="92" t="str">
        <f ca="1">IF(EB.Anwendung&lt;&gt;"",IF(EB.Wochenarbeitszeit=50/24,INDEX(T.Pikett.Bereich,1),IF(DAY(H$10)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G34="B",INDEX(T.Pikett.Bereich,4),IF(G34="E",INDEX(T.Pikett.Bereich,1),G34)))),"")</f>
        <v>No</v>
      </c>
      <c r="I34" s="92" t="str">
        <f ca="1">IF(EB.Anwendung&lt;&gt;"",IF(EB.Wochenarbeitszeit=50/24,INDEX(T.Pikett.Bereich,1),IF(DAY(I$10)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H34="B",INDEX(T.Pikett.Bereich,4),IF(H34="E",INDEX(T.Pikett.Bereich,1),H34)))),"")</f>
        <v>No</v>
      </c>
      <c r="J34" s="92" t="str">
        <f ca="1">IF(EB.Anwendung&lt;&gt;"",IF(EB.Wochenarbeitszeit=50/24,INDEX(T.Pikett.Bereich,1),IF(DAY(J$10)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I34="B",INDEX(T.Pikett.Bereich,4),IF(I34="E",INDEX(T.Pikett.Bereich,1),I34)))),"")</f>
        <v>No</v>
      </c>
      <c r="K34" s="92" t="str">
        <f ca="1">IF(EB.Anwendung&lt;&gt;"",IF(EB.Wochenarbeitszeit=50/24,INDEX(T.Pikett.Bereich,1),IF(DAY(K$10)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J34="B",INDEX(T.Pikett.Bereich,4),IF(J34="E",INDEX(T.Pikett.Bereich,1),J34)))),"")</f>
        <v>No</v>
      </c>
      <c r="L34" s="92" t="str">
        <f ca="1">IF(EB.Anwendung&lt;&gt;"",IF(EB.Wochenarbeitszeit=50/24,INDEX(T.Pikett.Bereich,1),IF(DAY(L$10)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K34="B",INDEX(T.Pikett.Bereich,4),IF(K34="E",INDEX(T.Pikett.Bereich,1),K34)))),"")</f>
        <v>No</v>
      </c>
      <c r="M34" s="92" t="str">
        <f ca="1">IF(EB.Anwendung&lt;&gt;"",IF(EB.Wochenarbeitszeit=50/24,INDEX(T.Pikett.Bereich,1),IF(DAY(M$10)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L34="B",INDEX(T.Pikett.Bereich,4),IF(L34="E",INDEX(T.Pikett.Bereich,1),L34)))),"")</f>
        <v>No</v>
      </c>
      <c r="N34" s="92" t="str">
        <f ca="1">IF(EB.Anwendung&lt;&gt;"",IF(EB.Wochenarbeitszeit=50/24,INDEX(T.Pikett.Bereich,1),IF(DAY(N$10)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M34="B",INDEX(T.Pikett.Bereich,4),IF(M34="E",INDEX(T.Pikett.Bereich,1),M34)))),"")</f>
        <v>No</v>
      </c>
      <c r="O34" s="92" t="str">
        <f ca="1">IF(EB.Anwendung&lt;&gt;"",IF(EB.Wochenarbeitszeit=50/24,INDEX(T.Pikett.Bereich,1),IF(DAY(O$10)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N34="B",INDEX(T.Pikett.Bereich,4),IF(N34="E",INDEX(T.Pikett.Bereich,1),N34)))),"")</f>
        <v>No</v>
      </c>
      <c r="P34" s="92" t="str">
        <f ca="1">IF(EB.Anwendung&lt;&gt;"",IF(EB.Wochenarbeitszeit=50/24,INDEX(T.Pikett.Bereich,1),IF(DAY(P$10)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O34="B",INDEX(T.Pikett.Bereich,4),IF(O34="E",INDEX(T.Pikett.Bereich,1),O34)))),"")</f>
        <v>No</v>
      </c>
      <c r="Q34" s="92" t="str">
        <f ca="1">IF(EB.Anwendung&lt;&gt;"",IF(EB.Wochenarbeitszeit=50/24,INDEX(T.Pikett.Bereich,1),IF(DAY(Q$10)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P34="B",INDEX(T.Pikett.Bereich,4),IF(P34="E",INDEX(T.Pikett.Bereich,1),P34)))),"")</f>
        <v>No</v>
      </c>
      <c r="R34" s="92" t="str">
        <f ca="1">IF(EB.Anwendung&lt;&gt;"",IF(EB.Wochenarbeitszeit=50/24,INDEX(T.Pikett.Bereich,1),IF(DAY(R$10)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Q34="B",INDEX(T.Pikett.Bereich,4),IF(Q34="E",INDEX(T.Pikett.Bereich,1),Q34)))),"")</f>
        <v>No</v>
      </c>
      <c r="S34" s="92" t="str">
        <f ca="1">IF(EB.Anwendung&lt;&gt;"",IF(EB.Wochenarbeitszeit=50/24,INDEX(T.Pikett.Bereich,1),IF(DAY(S$10)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R34="B",INDEX(T.Pikett.Bereich,4),IF(R34="E",INDEX(T.Pikett.Bereich,1),R34)))),"")</f>
        <v>No</v>
      </c>
      <c r="T34" s="92" t="str">
        <f ca="1">IF(EB.Anwendung&lt;&gt;"",IF(EB.Wochenarbeitszeit=50/24,INDEX(T.Pikett.Bereich,1),IF(DAY(T$10)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S34="B",INDEX(T.Pikett.Bereich,4),IF(S34="E",INDEX(T.Pikett.Bereich,1),S34)))),"")</f>
        <v>No</v>
      </c>
      <c r="U34" s="92" t="str">
        <f ca="1">IF(EB.Anwendung&lt;&gt;"",IF(EB.Wochenarbeitszeit=50/24,INDEX(T.Pikett.Bereich,1),IF(DAY(U$10)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T34="B",INDEX(T.Pikett.Bereich,4),IF(T34="E",INDEX(T.Pikett.Bereich,1),T34)))),"")</f>
        <v>No</v>
      </c>
      <c r="V34" s="92" t="str">
        <f ca="1">IF(EB.Anwendung&lt;&gt;"",IF(EB.Wochenarbeitszeit=50/24,INDEX(T.Pikett.Bereich,1),IF(DAY(V$10)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U34="B",INDEX(T.Pikett.Bereich,4),IF(U34="E",INDEX(T.Pikett.Bereich,1),U34)))),"")</f>
        <v>No</v>
      </c>
      <c r="W34" s="92" t="str">
        <f ca="1">IF(EB.Anwendung&lt;&gt;"",IF(EB.Wochenarbeitszeit=50/24,INDEX(T.Pikett.Bereich,1),IF(DAY(W$10)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V34="B",INDEX(T.Pikett.Bereich,4),IF(V34="E",INDEX(T.Pikett.Bereich,1),V34)))),"")</f>
        <v>No</v>
      </c>
      <c r="X34" s="92" t="str">
        <f ca="1">IF(EB.Anwendung&lt;&gt;"",IF(EB.Wochenarbeitszeit=50/24,INDEX(T.Pikett.Bereich,1),IF(DAY(X$10)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W34="B",INDEX(T.Pikett.Bereich,4),IF(W34="E",INDEX(T.Pikett.Bereich,1),W34)))),"")</f>
        <v>No</v>
      </c>
      <c r="Y34" s="92" t="str">
        <f ca="1">IF(EB.Anwendung&lt;&gt;"",IF(EB.Wochenarbeitszeit=50/24,INDEX(T.Pikett.Bereich,1),IF(DAY(Y$10)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X34="B",INDEX(T.Pikett.Bereich,4),IF(X34="E",INDEX(T.Pikett.Bereich,1),X34)))),"")</f>
        <v>No</v>
      </c>
      <c r="Z34" s="92" t="str">
        <f ca="1">IF(EB.Anwendung&lt;&gt;"",IF(EB.Wochenarbeitszeit=50/24,INDEX(T.Pikett.Bereich,1),IF(DAY(Z$10)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Y34="B",INDEX(T.Pikett.Bereich,4),IF(Y34="E",INDEX(T.Pikett.Bereich,1),Y34)))),"")</f>
        <v>No</v>
      </c>
      <c r="AA34" s="92" t="str">
        <f ca="1">IF(EB.Anwendung&lt;&gt;"",IF(EB.Wochenarbeitszeit=50/24,INDEX(T.Pikett.Bereich,1),IF(DAY(AA$10)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Z34="B",INDEX(T.Pikett.Bereich,4),IF(Z34="E",INDEX(T.Pikett.Bereich,1),Z34)))),"")</f>
        <v>No</v>
      </c>
      <c r="AB34" s="92" t="str">
        <f ca="1">IF(EB.Anwendung&lt;&gt;"",IF(EB.Wochenarbeitszeit=50/24,INDEX(T.Pikett.Bereich,1),IF(DAY(A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A34="B",INDEX(T.Pikett.Bereich,4),IF(AA34="E",INDEX(T.Pikett.Bereich,1),AA34)))),"")</f>
        <v>No</v>
      </c>
      <c r="AC34" s="92" t="str">
        <f ca="1">IF(EB.Anwendung&lt;&gt;"",IF(EB.Wochenarbeitszeit=50/24,INDEX(T.Pikett.Bereich,1),IF(DAY(A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B34="B",INDEX(T.Pikett.Bereich,4),IF(AB34="E",INDEX(T.Pikett.Bereich,1),AB34)))),"")</f>
        <v>No</v>
      </c>
      <c r="AD34" s="92" t="str">
        <f ca="1">IF(EB.Anwendung&lt;&gt;"",IF(EB.Wochenarbeitszeit=50/24,INDEX(T.Pikett.Bereich,1),IF(DAY(A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C34="B",INDEX(T.Pikett.Bereich,4),IF(AC34="E",INDEX(T.Pikett.Bereich,1),AC34)))),"")</f>
        <v>No</v>
      </c>
      <c r="AE34" s="92" t="str">
        <f ca="1">IF(EB.Anwendung&lt;&gt;"",IF(EB.Wochenarbeitszeit=50/24,INDEX(T.Pikett.Bereich,1),IF(DAY(A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D34="B",INDEX(T.Pikett.Bereich,4),IF(AD34="E",INDEX(T.Pikett.Bereich,1),AD34)))),"")</f>
        <v>No</v>
      </c>
      <c r="AF34" s="92" t="str">
        <f ca="1">IF(EB.Anwendung&lt;&gt;"",IF(EB.Wochenarbeitszeit=50/24,INDEX(T.Pikett.Bereich,1),IF(DAY(A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E34="B",INDEX(T.Pikett.Bereich,4),IF(AE34="E",INDEX(T.Pikett.Bereich,1),AE34)))),"")</f>
        <v>No</v>
      </c>
      <c r="AG34" s="217" t="str">
        <f ca="1">IF(OFFSET(B34,0,DAY(EOMONTH(Monat.Tag1,0))-1,1,1)="B",INDEX(T.Pikett.Bereich,4),IF(OFFSET(B34,0,DAY(EOMONTH(Monat.Tag1,0))-1,1,1)="E",INDEX(T.Pikett.Bereich,1),OFFSET(B34,0,DAY(EOMONTH(Monat.Tag1,0))-1,1,1)))</f>
        <v>No</v>
      </c>
      <c r="AH34" s="228"/>
      <c r="AI34" s="224"/>
      <c r="AJ34" s="229" t="str">
        <f ca="1">IF(T.50_Vetsuisse,IFERROR(SUMPRODUCT((B34:AF34=INDEX(T.Pikett.Bereich,4))*((B49:AF49)&lt;1/24*5)),0) &amp; " / " &amp; IFERROR(SUMPRODUCT((B34:AF34=INDEX(T.Pikett.Bereich,4))*((B49:AF49)&gt;=1/24*5)),0) &amp; " / " &amp; IFERROR(SUMPRODUCT((B34:AF34=INDEX(T.Pikett.Bereich,4))*((B49:AF49)&lt;1/24*5)),0) + IFERROR(SUMPRODUCT((B34:AF34=INDEX(T.Pikett.Bereich,4))*((B49:AF49)&gt;=1/24*5)),0),
IFERROR(SUMPRODUCT((B34:AF34=INDEX(T.Pikett.Bereich,4))*(WEEKDAY(B10:AF10,2)&lt;6)*(B11:AF11&lt;&gt;0)),0) &amp; " / " &amp; IFERROR(SUMPRODUCT((B34:AF34=INDEX(T.Pikett.Bereich,4))*(WEEKDAY(B10:AF10,2)&gt;5)*(B11:AF11&lt;&gt;0))+SUMPRODUCT((B34:AF34=INDEX(T.Pikett.Bereich,4))*(B11:AF11=0)),0) &amp; " / " &amp; IFERROR(SUMPRODUCT((B34:AF34=INDEX(T.Pikett.Bereich,4))*(WEEKDAY(B10:AF10,2)&lt;6)*(B11:AF11&lt;&gt;0)),0) + IFERROR(SUMPRODUCT((B34:AF34=INDEX(T.Pikett.Bereich,4))*(WEEKDAY(B10:AF10,2)&gt;5)*(B11:AF11&lt;&gt;0))+SUMPRODUCT((B34:AF34=INDEX(T.Pikett.Bereich,4))*(B11:AF11=0)),0))</f>
        <v>0 / 0 / 0</v>
      </c>
      <c r="AK34" s="209"/>
      <c r="AL34" s="209"/>
      <c r="AM34" s="209"/>
      <c r="AN34" s="208"/>
      <c r="AO34" s="209"/>
      <c r="AP34" s="209"/>
      <c r="AQ34" s="119"/>
    </row>
    <row r="35" spans="1:43" s="38" customFormat="1" ht="15" customHeight="1" outlineLevel="1" x14ac:dyDescent="0.2">
      <c r="A35" s="212" t="s">
        <v>74</v>
      </c>
      <c r="B35" s="40"/>
      <c r="C35" s="40"/>
      <c r="D35" s="40"/>
      <c r="E35" s="27"/>
      <c r="F35" s="40"/>
      <c r="G35" s="40"/>
      <c r="H35" s="40"/>
      <c r="I35" s="40"/>
      <c r="J35" s="27"/>
      <c r="K35" s="40"/>
      <c r="L35" s="27"/>
      <c r="M35" s="40"/>
      <c r="N35" s="40"/>
      <c r="O35" s="40"/>
      <c r="P35" s="40"/>
      <c r="Q35" s="27"/>
      <c r="R35" s="40"/>
      <c r="S35" s="27"/>
      <c r="T35" s="27"/>
      <c r="U35" s="40"/>
      <c r="V35" s="40"/>
      <c r="W35" s="40"/>
      <c r="X35" s="27"/>
      <c r="Y35" s="40"/>
      <c r="Z35" s="39"/>
      <c r="AA35" s="40"/>
      <c r="AB35" s="40"/>
      <c r="AC35" s="40"/>
      <c r="AD35" s="40"/>
      <c r="AE35" s="27"/>
      <c r="AF35" s="40"/>
      <c r="AG35" s="205" t="str">
        <f t="shared" si="2"/>
        <v>in</v>
      </c>
      <c r="AH35" s="188"/>
      <c r="AI35" s="213"/>
      <c r="AJ35" s="214"/>
      <c r="AK35" s="209"/>
      <c r="AL35" s="209"/>
      <c r="AM35" s="209"/>
      <c r="AN35" s="208"/>
      <c r="AO35" s="209"/>
      <c r="AP35" s="209"/>
      <c r="AQ35" s="119"/>
    </row>
    <row r="36" spans="1:43" s="38" customFormat="1" ht="15" customHeight="1" outlineLevel="1" x14ac:dyDescent="0.2">
      <c r="A36" s="212" t="s">
        <v>75</v>
      </c>
      <c r="B36" s="40"/>
      <c r="C36" s="40"/>
      <c r="D36" s="40"/>
      <c r="E36" s="27"/>
      <c r="F36" s="40"/>
      <c r="G36" s="40"/>
      <c r="H36" s="40"/>
      <c r="I36" s="40"/>
      <c r="J36" s="27"/>
      <c r="K36" s="40"/>
      <c r="L36" s="27"/>
      <c r="M36" s="40"/>
      <c r="N36" s="40"/>
      <c r="O36" s="40"/>
      <c r="P36" s="40"/>
      <c r="Q36" s="27"/>
      <c r="R36" s="40"/>
      <c r="S36" s="27"/>
      <c r="T36" s="27"/>
      <c r="U36" s="40"/>
      <c r="V36" s="40"/>
      <c r="W36" s="40"/>
      <c r="X36" s="27"/>
      <c r="Y36" s="40"/>
      <c r="Z36" s="39"/>
      <c r="AA36" s="40"/>
      <c r="AB36" s="40"/>
      <c r="AC36" s="40"/>
      <c r="AD36" s="40"/>
      <c r="AE36" s="27"/>
      <c r="AF36" s="40"/>
      <c r="AG36" s="205" t="str">
        <f t="shared" si="2"/>
        <v>out</v>
      </c>
      <c r="AH36" s="188"/>
      <c r="AI36" s="213"/>
      <c r="AJ36" s="214"/>
      <c r="AK36" s="209"/>
      <c r="AL36" s="209"/>
      <c r="AM36" s="209"/>
      <c r="AN36" s="208"/>
      <c r="AO36" s="209"/>
      <c r="AP36" s="209"/>
      <c r="AQ36" s="119"/>
    </row>
    <row r="37" spans="1:43" s="38" customFormat="1" ht="15" customHeight="1" outlineLevel="1" x14ac:dyDescent="0.2">
      <c r="A37" s="212" t="s">
        <v>74</v>
      </c>
      <c r="B37" s="40"/>
      <c r="C37" s="40"/>
      <c r="D37" s="40"/>
      <c r="E37" s="27"/>
      <c r="F37" s="40"/>
      <c r="G37" s="40"/>
      <c r="H37" s="40"/>
      <c r="I37" s="40"/>
      <c r="J37" s="27"/>
      <c r="K37" s="40"/>
      <c r="L37" s="27"/>
      <c r="M37" s="40"/>
      <c r="N37" s="40"/>
      <c r="O37" s="40"/>
      <c r="P37" s="40"/>
      <c r="Q37" s="27"/>
      <c r="R37" s="40"/>
      <c r="S37" s="27"/>
      <c r="T37" s="27"/>
      <c r="U37" s="40"/>
      <c r="V37" s="40"/>
      <c r="W37" s="40"/>
      <c r="X37" s="27"/>
      <c r="Y37" s="40"/>
      <c r="Z37" s="39"/>
      <c r="AA37" s="40"/>
      <c r="AB37" s="40"/>
      <c r="AC37" s="40"/>
      <c r="AD37" s="40"/>
      <c r="AE37" s="27"/>
      <c r="AF37" s="40"/>
      <c r="AG37" s="205" t="str">
        <f t="shared" si="2"/>
        <v>in</v>
      </c>
      <c r="AH37" s="188"/>
      <c r="AI37" s="213"/>
      <c r="AJ37" s="214"/>
      <c r="AK37" s="209"/>
      <c r="AL37" s="209"/>
      <c r="AM37" s="209"/>
      <c r="AN37" s="208"/>
      <c r="AO37" s="209"/>
      <c r="AP37" s="209"/>
      <c r="AQ37" s="119"/>
    </row>
    <row r="38" spans="1:43" s="38" customFormat="1" ht="15" customHeight="1" outlineLevel="1" x14ac:dyDescent="0.2">
      <c r="A38" s="212" t="s">
        <v>75</v>
      </c>
      <c r="B38" s="40"/>
      <c r="C38" s="40"/>
      <c r="D38" s="40"/>
      <c r="E38" s="27"/>
      <c r="F38" s="40"/>
      <c r="G38" s="40"/>
      <c r="H38" s="40"/>
      <c r="I38" s="40"/>
      <c r="J38" s="27"/>
      <c r="K38" s="40"/>
      <c r="L38" s="27"/>
      <c r="M38" s="40"/>
      <c r="N38" s="40"/>
      <c r="O38" s="40"/>
      <c r="P38" s="40"/>
      <c r="Q38" s="27"/>
      <c r="R38" s="40"/>
      <c r="S38" s="27"/>
      <c r="T38" s="27"/>
      <c r="U38" s="40"/>
      <c r="V38" s="40"/>
      <c r="W38" s="40"/>
      <c r="X38" s="27"/>
      <c r="Y38" s="40"/>
      <c r="Z38" s="39"/>
      <c r="AA38" s="40"/>
      <c r="AB38" s="40"/>
      <c r="AC38" s="40"/>
      <c r="AD38" s="40"/>
      <c r="AE38" s="27"/>
      <c r="AF38" s="40"/>
      <c r="AG38" s="205" t="str">
        <f t="shared" si="2"/>
        <v>out</v>
      </c>
      <c r="AH38" s="188"/>
      <c r="AI38" s="213"/>
      <c r="AJ38" s="214"/>
      <c r="AK38" s="209"/>
      <c r="AL38" s="209"/>
      <c r="AM38" s="209"/>
      <c r="AN38" s="208"/>
      <c r="AO38" s="209"/>
      <c r="AP38" s="209"/>
      <c r="AQ38" s="119"/>
    </row>
    <row r="39" spans="1:43" s="38" customFormat="1" ht="15" customHeight="1" outlineLevel="1" x14ac:dyDescent="0.2">
      <c r="A39" s="212" t="s">
        <v>74</v>
      </c>
      <c r="B39" s="40"/>
      <c r="C39" s="40"/>
      <c r="D39" s="40"/>
      <c r="E39" s="27"/>
      <c r="F39" s="40"/>
      <c r="G39" s="40"/>
      <c r="H39" s="40"/>
      <c r="I39" s="40"/>
      <c r="J39" s="27"/>
      <c r="K39" s="40"/>
      <c r="L39" s="27"/>
      <c r="M39" s="40"/>
      <c r="N39" s="40"/>
      <c r="O39" s="40"/>
      <c r="P39" s="40"/>
      <c r="Q39" s="27"/>
      <c r="R39" s="40"/>
      <c r="S39" s="27"/>
      <c r="T39" s="27"/>
      <c r="U39" s="40"/>
      <c r="V39" s="40"/>
      <c r="W39" s="40"/>
      <c r="X39" s="27"/>
      <c r="Y39" s="40"/>
      <c r="Z39" s="39"/>
      <c r="AA39" s="40"/>
      <c r="AB39" s="40"/>
      <c r="AC39" s="40"/>
      <c r="AD39" s="40"/>
      <c r="AE39" s="27"/>
      <c r="AF39" s="40"/>
      <c r="AG39" s="205" t="str">
        <f t="shared" si="2"/>
        <v>in</v>
      </c>
      <c r="AH39" s="188"/>
      <c r="AI39" s="213"/>
      <c r="AJ39" s="214"/>
      <c r="AK39" s="209"/>
      <c r="AL39" s="209"/>
      <c r="AM39" s="209"/>
      <c r="AN39" s="208"/>
      <c r="AO39" s="209"/>
      <c r="AP39" s="209"/>
      <c r="AQ39" s="119"/>
    </row>
    <row r="40" spans="1:43" s="38" customFormat="1" ht="15" customHeight="1" outlineLevel="1" x14ac:dyDescent="0.2">
      <c r="A40" s="212" t="s">
        <v>75</v>
      </c>
      <c r="B40" s="40"/>
      <c r="C40" s="40"/>
      <c r="D40" s="40"/>
      <c r="E40" s="27"/>
      <c r="F40" s="40"/>
      <c r="G40" s="40"/>
      <c r="H40" s="40"/>
      <c r="I40" s="40"/>
      <c r="J40" s="27"/>
      <c r="K40" s="40"/>
      <c r="L40" s="27"/>
      <c r="M40" s="40"/>
      <c r="N40" s="40"/>
      <c r="O40" s="40"/>
      <c r="P40" s="40"/>
      <c r="Q40" s="27"/>
      <c r="R40" s="40"/>
      <c r="S40" s="27"/>
      <c r="T40" s="27"/>
      <c r="U40" s="40"/>
      <c r="V40" s="40"/>
      <c r="W40" s="40"/>
      <c r="X40" s="27"/>
      <c r="Y40" s="40"/>
      <c r="Z40" s="39"/>
      <c r="AA40" s="40"/>
      <c r="AB40" s="40"/>
      <c r="AC40" s="40"/>
      <c r="AD40" s="40"/>
      <c r="AE40" s="27"/>
      <c r="AF40" s="40"/>
      <c r="AG40" s="205" t="str">
        <f t="shared" si="2"/>
        <v>out</v>
      </c>
      <c r="AH40" s="188"/>
      <c r="AI40" s="213"/>
      <c r="AJ40" s="214"/>
      <c r="AK40" s="209"/>
      <c r="AL40" s="209"/>
      <c r="AM40" s="209"/>
      <c r="AN40" s="208"/>
      <c r="AO40" s="209"/>
      <c r="AP40" s="209"/>
      <c r="AQ40" s="119"/>
    </row>
    <row r="41" spans="1:43" s="38" customFormat="1" ht="15" hidden="1" customHeight="1" outlineLevel="1" x14ac:dyDescent="0.2">
      <c r="A41" s="212" t="s">
        <v>74</v>
      </c>
      <c r="B41" s="40"/>
      <c r="C41" s="40"/>
      <c r="D41" s="40"/>
      <c r="E41" s="27"/>
      <c r="F41" s="40"/>
      <c r="G41" s="40"/>
      <c r="H41" s="40"/>
      <c r="I41" s="40"/>
      <c r="J41" s="27"/>
      <c r="K41" s="40"/>
      <c r="L41" s="27"/>
      <c r="M41" s="40"/>
      <c r="N41" s="40"/>
      <c r="O41" s="40"/>
      <c r="P41" s="40"/>
      <c r="Q41" s="27"/>
      <c r="R41" s="40"/>
      <c r="S41" s="27"/>
      <c r="T41" s="27"/>
      <c r="U41" s="40"/>
      <c r="V41" s="40"/>
      <c r="W41" s="40"/>
      <c r="X41" s="27"/>
      <c r="Y41" s="40"/>
      <c r="Z41" s="39"/>
      <c r="AA41" s="40"/>
      <c r="AB41" s="40"/>
      <c r="AC41" s="40"/>
      <c r="AD41" s="40"/>
      <c r="AE41" s="27"/>
      <c r="AF41" s="40"/>
      <c r="AG41" s="205" t="str">
        <f t="shared" si="2"/>
        <v>in</v>
      </c>
      <c r="AH41" s="188"/>
      <c r="AI41" s="213"/>
      <c r="AJ41" s="214"/>
      <c r="AK41" s="209"/>
      <c r="AL41" s="209"/>
      <c r="AM41" s="209"/>
      <c r="AN41" s="208"/>
      <c r="AO41" s="209"/>
      <c r="AP41" s="209"/>
      <c r="AQ41" s="119"/>
    </row>
    <row r="42" spans="1:43" s="38" customFormat="1" ht="15" hidden="1" customHeight="1" outlineLevel="1" x14ac:dyDescent="0.2">
      <c r="A42" s="212" t="s">
        <v>75</v>
      </c>
      <c r="B42" s="40"/>
      <c r="C42" s="40"/>
      <c r="D42" s="40"/>
      <c r="E42" s="27"/>
      <c r="F42" s="40"/>
      <c r="G42" s="40"/>
      <c r="H42" s="40"/>
      <c r="I42" s="40"/>
      <c r="J42" s="27"/>
      <c r="K42" s="40"/>
      <c r="L42" s="27"/>
      <c r="M42" s="40"/>
      <c r="N42" s="40"/>
      <c r="O42" s="40"/>
      <c r="P42" s="40"/>
      <c r="Q42" s="27"/>
      <c r="R42" s="40"/>
      <c r="S42" s="27"/>
      <c r="T42" s="27"/>
      <c r="U42" s="40"/>
      <c r="V42" s="40"/>
      <c r="W42" s="40"/>
      <c r="X42" s="27"/>
      <c r="Y42" s="40"/>
      <c r="Z42" s="39"/>
      <c r="AA42" s="40"/>
      <c r="AB42" s="40"/>
      <c r="AC42" s="40"/>
      <c r="AD42" s="40"/>
      <c r="AE42" s="27"/>
      <c r="AF42" s="40"/>
      <c r="AG42" s="205" t="str">
        <f t="shared" si="2"/>
        <v>out</v>
      </c>
      <c r="AH42" s="188"/>
      <c r="AI42" s="213"/>
      <c r="AJ42" s="214"/>
      <c r="AK42" s="209"/>
      <c r="AL42" s="209"/>
      <c r="AM42" s="209"/>
      <c r="AN42" s="208"/>
      <c r="AO42" s="209"/>
      <c r="AP42" s="209"/>
      <c r="AQ42" s="119"/>
    </row>
    <row r="43" spans="1:43" s="38" customFormat="1" ht="15" hidden="1" customHeight="1" outlineLevel="1" x14ac:dyDescent="0.2">
      <c r="A43" s="212" t="s">
        <v>74</v>
      </c>
      <c r="B43" s="40"/>
      <c r="C43" s="40"/>
      <c r="D43" s="40"/>
      <c r="E43" s="27"/>
      <c r="F43" s="40"/>
      <c r="G43" s="40"/>
      <c r="H43" s="40"/>
      <c r="I43" s="40"/>
      <c r="J43" s="27"/>
      <c r="K43" s="40"/>
      <c r="L43" s="27"/>
      <c r="M43" s="40"/>
      <c r="N43" s="40"/>
      <c r="O43" s="40"/>
      <c r="P43" s="40"/>
      <c r="Q43" s="27"/>
      <c r="R43" s="40"/>
      <c r="S43" s="27"/>
      <c r="T43" s="27"/>
      <c r="U43" s="40"/>
      <c r="V43" s="40"/>
      <c r="W43" s="40"/>
      <c r="X43" s="27"/>
      <c r="Y43" s="40"/>
      <c r="Z43" s="39"/>
      <c r="AA43" s="40"/>
      <c r="AB43" s="40"/>
      <c r="AC43" s="40"/>
      <c r="AD43" s="40"/>
      <c r="AE43" s="27"/>
      <c r="AF43" s="40"/>
      <c r="AG43" s="205" t="str">
        <f t="shared" si="2"/>
        <v>in</v>
      </c>
      <c r="AH43" s="188"/>
      <c r="AI43" s="213"/>
      <c r="AJ43" s="214"/>
      <c r="AK43" s="209"/>
      <c r="AL43" s="209"/>
      <c r="AM43" s="209"/>
      <c r="AN43" s="208"/>
      <c r="AO43" s="209"/>
      <c r="AP43" s="209"/>
      <c r="AQ43" s="119"/>
    </row>
    <row r="44" spans="1:43" s="38" customFormat="1" ht="15" hidden="1" customHeight="1" outlineLevel="1" x14ac:dyDescent="0.2">
      <c r="A44" s="212" t="s">
        <v>75</v>
      </c>
      <c r="B44" s="40"/>
      <c r="C44" s="40"/>
      <c r="D44" s="40"/>
      <c r="E44" s="27"/>
      <c r="F44" s="40"/>
      <c r="G44" s="40"/>
      <c r="H44" s="40"/>
      <c r="I44" s="40"/>
      <c r="J44" s="27"/>
      <c r="K44" s="40"/>
      <c r="L44" s="27"/>
      <c r="M44" s="40"/>
      <c r="N44" s="40"/>
      <c r="O44" s="40"/>
      <c r="P44" s="40"/>
      <c r="Q44" s="27"/>
      <c r="R44" s="40"/>
      <c r="S44" s="27"/>
      <c r="T44" s="27"/>
      <c r="U44" s="40"/>
      <c r="V44" s="40"/>
      <c r="W44" s="40"/>
      <c r="X44" s="27"/>
      <c r="Y44" s="40"/>
      <c r="Z44" s="39"/>
      <c r="AA44" s="40"/>
      <c r="AB44" s="40"/>
      <c r="AC44" s="40"/>
      <c r="AD44" s="40"/>
      <c r="AE44" s="27"/>
      <c r="AF44" s="40"/>
      <c r="AG44" s="205" t="str">
        <f t="shared" si="2"/>
        <v>out</v>
      </c>
      <c r="AH44" s="188"/>
      <c r="AI44" s="213"/>
      <c r="AJ44" s="214"/>
      <c r="AK44" s="209"/>
      <c r="AL44" s="209"/>
      <c r="AM44" s="209"/>
      <c r="AN44" s="208"/>
      <c r="AO44" s="209"/>
      <c r="AP44" s="209"/>
      <c r="AQ44" s="119"/>
    </row>
    <row r="45" spans="1:43" s="38" customFormat="1" ht="15" customHeight="1" outlineLevel="1" x14ac:dyDescent="0.2">
      <c r="A45" s="215" t="s">
        <v>207</v>
      </c>
      <c r="B45" s="216">
        <f>ROUND(((B36-B35)+(B38-B37)+(B40-B39)+(B42-B41)+(B44-B43))*1440,0)/1440</f>
        <v>0</v>
      </c>
      <c r="C45" s="216">
        <f t="shared" ref="C45:AF45" si="9">ROUND(((C36-C35)+(C38-C37)+(C40-C39)+(C42-C41)+(C44-C43))*1440,0)/1440</f>
        <v>0</v>
      </c>
      <c r="D45" s="216">
        <f t="shared" si="9"/>
        <v>0</v>
      </c>
      <c r="E45" s="216">
        <f t="shared" si="9"/>
        <v>0</v>
      </c>
      <c r="F45" s="216">
        <f t="shared" si="9"/>
        <v>0</v>
      </c>
      <c r="G45" s="216">
        <f t="shared" si="9"/>
        <v>0</v>
      </c>
      <c r="H45" s="216">
        <f t="shared" si="9"/>
        <v>0</v>
      </c>
      <c r="I45" s="216">
        <f t="shared" si="9"/>
        <v>0</v>
      </c>
      <c r="J45" s="216">
        <f t="shared" si="9"/>
        <v>0</v>
      </c>
      <c r="K45" s="216">
        <f t="shared" si="9"/>
        <v>0</v>
      </c>
      <c r="L45" s="216">
        <f t="shared" si="9"/>
        <v>0</v>
      </c>
      <c r="M45" s="216">
        <f t="shared" si="9"/>
        <v>0</v>
      </c>
      <c r="N45" s="216">
        <f t="shared" si="9"/>
        <v>0</v>
      </c>
      <c r="O45" s="216">
        <f t="shared" si="9"/>
        <v>0</v>
      </c>
      <c r="P45" s="216">
        <f t="shared" si="9"/>
        <v>0</v>
      </c>
      <c r="Q45" s="216">
        <f t="shared" si="9"/>
        <v>0</v>
      </c>
      <c r="R45" s="216">
        <f t="shared" si="9"/>
        <v>0</v>
      </c>
      <c r="S45" s="216">
        <f t="shared" si="9"/>
        <v>0</v>
      </c>
      <c r="T45" s="216">
        <f t="shared" si="9"/>
        <v>0</v>
      </c>
      <c r="U45" s="216">
        <f t="shared" si="9"/>
        <v>0</v>
      </c>
      <c r="V45" s="216">
        <f t="shared" si="9"/>
        <v>0</v>
      </c>
      <c r="W45" s="216">
        <f t="shared" si="9"/>
        <v>0</v>
      </c>
      <c r="X45" s="216">
        <f t="shared" si="9"/>
        <v>0</v>
      </c>
      <c r="Y45" s="216">
        <f t="shared" si="9"/>
        <v>0</v>
      </c>
      <c r="Z45" s="216">
        <f t="shared" si="9"/>
        <v>0</v>
      </c>
      <c r="AA45" s="216">
        <f t="shared" si="9"/>
        <v>0</v>
      </c>
      <c r="AB45" s="216">
        <f t="shared" si="9"/>
        <v>0</v>
      </c>
      <c r="AC45" s="216">
        <f t="shared" si="9"/>
        <v>0</v>
      </c>
      <c r="AD45" s="216">
        <f t="shared" si="9"/>
        <v>0</v>
      </c>
      <c r="AE45" s="216">
        <f t="shared" si="9"/>
        <v>0</v>
      </c>
      <c r="AF45" s="216">
        <f t="shared" si="9"/>
        <v>0</v>
      </c>
      <c r="AG45" s="217" t="str">
        <f t="shared" si="2"/>
        <v>Total on call standby in/out</v>
      </c>
      <c r="AH45" s="218"/>
      <c r="AI45" s="219">
        <f>SUM(B45:AF45)</f>
        <v>0</v>
      </c>
      <c r="AJ45" s="214"/>
      <c r="AK45" s="209"/>
      <c r="AL45" s="209"/>
      <c r="AM45" s="209"/>
      <c r="AN45" s="208"/>
      <c r="AO45" s="209"/>
      <c r="AP45" s="209"/>
      <c r="AQ45" s="119"/>
    </row>
    <row r="46" spans="1:43" s="38" customFormat="1" ht="3.75" customHeight="1" x14ac:dyDescent="0.2">
      <c r="A46" s="220"/>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213"/>
      <c r="AG46" s="205"/>
      <c r="AH46" s="188"/>
      <c r="AI46" s="213"/>
      <c r="AJ46" s="214"/>
      <c r="AK46" s="209"/>
      <c r="AL46" s="209"/>
      <c r="AM46" s="209"/>
      <c r="AN46" s="208"/>
      <c r="AO46" s="209"/>
      <c r="AP46" s="209"/>
      <c r="AQ46" s="119"/>
    </row>
    <row r="47" spans="1:43" s="38" customFormat="1" ht="16.5" hidden="1" customHeight="1" outlineLevel="1" x14ac:dyDescent="0.2">
      <c r="A47" s="215" t="s">
        <v>209</v>
      </c>
      <c r="B47" s="216">
        <f t="shared" ref="B47:AF47" si="10">IF(B45&gt;0,ROUND((B45-
IF(B35&lt;T.PikettVetsuissebis,MIN(T.PikettVetsuissebis-B35,B36-B35)+IF(B37&lt;T.PikettVetsuissebis,MIN(T.PikettVetsuissebis-B37,B38-B37)+IF(B39&lt;T.PikettVetsuissebis,MIN(T.PikettVetsuissebis-B39,B40-B39)+IF(B41&lt;T.PikettVetsuissebis,MIN(T.PikettVetsuissebis-B41,B42-B41)+IF(B43&lt;T.PikettVetsuissebis,MIN(T.PikettVetsuissebis-B43,B44-B43),0),0),0),0),0))*1440,0)/1440,0)</f>
        <v>0</v>
      </c>
      <c r="C47" s="216">
        <f t="shared" si="10"/>
        <v>0</v>
      </c>
      <c r="D47" s="216">
        <f t="shared" si="10"/>
        <v>0</v>
      </c>
      <c r="E47" s="216">
        <f t="shared" si="10"/>
        <v>0</v>
      </c>
      <c r="F47" s="216">
        <f t="shared" si="10"/>
        <v>0</v>
      </c>
      <c r="G47" s="216">
        <f t="shared" si="10"/>
        <v>0</v>
      </c>
      <c r="H47" s="216">
        <f t="shared" si="10"/>
        <v>0</v>
      </c>
      <c r="I47" s="216">
        <f t="shared" si="10"/>
        <v>0</v>
      </c>
      <c r="J47" s="216">
        <f t="shared" si="10"/>
        <v>0</v>
      </c>
      <c r="K47" s="216">
        <f t="shared" si="10"/>
        <v>0</v>
      </c>
      <c r="L47" s="216">
        <f t="shared" si="10"/>
        <v>0</v>
      </c>
      <c r="M47" s="216">
        <f t="shared" si="10"/>
        <v>0</v>
      </c>
      <c r="N47" s="216">
        <f t="shared" si="10"/>
        <v>0</v>
      </c>
      <c r="O47" s="216">
        <f t="shared" si="10"/>
        <v>0</v>
      </c>
      <c r="P47" s="216">
        <f t="shared" si="10"/>
        <v>0</v>
      </c>
      <c r="Q47" s="216">
        <f t="shared" si="10"/>
        <v>0</v>
      </c>
      <c r="R47" s="216">
        <f t="shared" si="10"/>
        <v>0</v>
      </c>
      <c r="S47" s="216">
        <f t="shared" si="10"/>
        <v>0</v>
      </c>
      <c r="T47" s="216">
        <f t="shared" si="10"/>
        <v>0</v>
      </c>
      <c r="U47" s="216">
        <f t="shared" si="10"/>
        <v>0</v>
      </c>
      <c r="V47" s="216">
        <f t="shared" si="10"/>
        <v>0</v>
      </c>
      <c r="W47" s="216">
        <f t="shared" si="10"/>
        <v>0</v>
      </c>
      <c r="X47" s="216">
        <f t="shared" si="10"/>
        <v>0</v>
      </c>
      <c r="Y47" s="216">
        <f t="shared" si="10"/>
        <v>0</v>
      </c>
      <c r="Z47" s="216">
        <f t="shared" si="10"/>
        <v>0</v>
      </c>
      <c r="AA47" s="216">
        <f t="shared" si="10"/>
        <v>0</v>
      </c>
      <c r="AB47" s="216">
        <f t="shared" si="10"/>
        <v>0</v>
      </c>
      <c r="AC47" s="216">
        <f t="shared" si="10"/>
        <v>0</v>
      </c>
      <c r="AD47" s="216">
        <f t="shared" si="10"/>
        <v>0</v>
      </c>
      <c r="AE47" s="216">
        <f t="shared" si="10"/>
        <v>0</v>
      </c>
      <c r="AF47" s="216">
        <f t="shared" si="10"/>
        <v>0</v>
      </c>
      <c r="AG47" s="217" t="str">
        <f t="shared" si="2"/>
        <v>Total on call hours today</v>
      </c>
      <c r="AH47" s="188"/>
      <c r="AI47" s="213"/>
      <c r="AJ47" s="214"/>
      <c r="AK47" s="209"/>
      <c r="AL47" s="209"/>
      <c r="AM47" s="209"/>
      <c r="AN47" s="208"/>
      <c r="AO47" s="209"/>
      <c r="AP47" s="209"/>
      <c r="AQ47" s="119"/>
    </row>
    <row r="48" spans="1:43" s="38" customFormat="1" ht="16.5" hidden="1" customHeight="1" outlineLevel="1" x14ac:dyDescent="0.2">
      <c r="A48" s="215" t="s">
        <v>208</v>
      </c>
      <c r="B48" s="225">
        <f t="shared" ref="B48:AF48" si="11">B45-B47</f>
        <v>0</v>
      </c>
      <c r="C48" s="225">
        <f t="shared" si="11"/>
        <v>0</v>
      </c>
      <c r="D48" s="225">
        <f t="shared" si="11"/>
        <v>0</v>
      </c>
      <c r="E48" s="225">
        <f t="shared" si="11"/>
        <v>0</v>
      </c>
      <c r="F48" s="225">
        <f t="shared" si="11"/>
        <v>0</v>
      </c>
      <c r="G48" s="225">
        <f t="shared" si="11"/>
        <v>0</v>
      </c>
      <c r="H48" s="225">
        <f t="shared" si="11"/>
        <v>0</v>
      </c>
      <c r="I48" s="225">
        <f t="shared" si="11"/>
        <v>0</v>
      </c>
      <c r="J48" s="225">
        <f t="shared" si="11"/>
        <v>0</v>
      </c>
      <c r="K48" s="225">
        <f t="shared" si="11"/>
        <v>0</v>
      </c>
      <c r="L48" s="225">
        <f t="shared" si="11"/>
        <v>0</v>
      </c>
      <c r="M48" s="225">
        <f t="shared" si="11"/>
        <v>0</v>
      </c>
      <c r="N48" s="225">
        <f t="shared" si="11"/>
        <v>0</v>
      </c>
      <c r="O48" s="225">
        <f t="shared" si="11"/>
        <v>0</v>
      </c>
      <c r="P48" s="225">
        <f t="shared" si="11"/>
        <v>0</v>
      </c>
      <c r="Q48" s="225">
        <f t="shared" si="11"/>
        <v>0</v>
      </c>
      <c r="R48" s="225">
        <f t="shared" si="11"/>
        <v>0</v>
      </c>
      <c r="S48" s="225">
        <f t="shared" si="11"/>
        <v>0</v>
      </c>
      <c r="T48" s="225">
        <f t="shared" si="11"/>
        <v>0</v>
      </c>
      <c r="U48" s="225">
        <f t="shared" si="11"/>
        <v>0</v>
      </c>
      <c r="V48" s="225">
        <f t="shared" si="11"/>
        <v>0</v>
      </c>
      <c r="W48" s="225">
        <f t="shared" si="11"/>
        <v>0</v>
      </c>
      <c r="X48" s="225">
        <f t="shared" si="11"/>
        <v>0</v>
      </c>
      <c r="Y48" s="225">
        <f t="shared" si="11"/>
        <v>0</v>
      </c>
      <c r="Z48" s="225">
        <f t="shared" si="11"/>
        <v>0</v>
      </c>
      <c r="AA48" s="225">
        <f t="shared" si="11"/>
        <v>0</v>
      </c>
      <c r="AB48" s="225">
        <f t="shared" si="11"/>
        <v>0</v>
      </c>
      <c r="AC48" s="225">
        <f t="shared" si="11"/>
        <v>0</v>
      </c>
      <c r="AD48" s="225">
        <f t="shared" si="11"/>
        <v>0</v>
      </c>
      <c r="AE48" s="225">
        <f t="shared" si="11"/>
        <v>0</v>
      </c>
      <c r="AF48" s="225">
        <f t="shared" si="11"/>
        <v>0</v>
      </c>
      <c r="AG48" s="217" t="str">
        <f t="shared" si="2"/>
        <v>Total on call hours yesterday</v>
      </c>
      <c r="AH48" s="188"/>
      <c r="AI48" s="213"/>
      <c r="AJ48" s="214"/>
      <c r="AK48" s="209"/>
      <c r="AL48" s="209"/>
      <c r="AM48" s="230">
        <f ca="1">IF(EB.Anwendung&lt;&gt;"",IF(MONTH(Monat.Tag1)=12,0,IF(MONTH(Monat.Tag1)=1,February!Monat.PikettgesternTag1,IF(MONTH(Monat.Tag1)=2,March!Monat.PikettgesternTag1,IF(MONTH(Monat.Tag1)=3,April!Monat.PikettgesternTag1,IF(MONTH(Monat.Tag1)=4,May!Monat.PikettgesternTag1,IF(MONTH(Monat.Tag1)=5,June!Monat.PikettgesternTag1,IF(MONTH(Monat.Tag1)=6,July!Monat.PikettgesternTag1,IF(MONTH(Monat.Tag1)=7,August!Monat.PikettgesternTag1,IF(MONTH(Monat.Tag1)=8,September!Monat.PikettgesternTag1,IF(MONTH(Monat.Tag1)=9,October!Monat.PikettgesternTag1,IF(MONTH(Monat.Tag1)=10,November!Monat.PikettgesternTag1,IF(MONTH(Monat.Tag1)=11,December!Monat.PikettgesternTag1,"")))))))))))),"")</f>
        <v>0</v>
      </c>
      <c r="AN48" s="208"/>
      <c r="AO48" s="209"/>
      <c r="AP48" s="209"/>
      <c r="AQ48" s="119"/>
    </row>
    <row r="49" spans="1:43" s="38" customFormat="1" ht="16.5" hidden="1" customHeight="1" outlineLevel="1" x14ac:dyDescent="0.2">
      <c r="A49" s="215" t="s">
        <v>210</v>
      </c>
      <c r="B49" s="216">
        <f t="shared" ref="B49:AF49" si="12">B47+IF(B$10=EOMONTH(B$10,0),$AM48,C48)</f>
        <v>0</v>
      </c>
      <c r="C49" s="216">
        <f t="shared" si="12"/>
        <v>0</v>
      </c>
      <c r="D49" s="216">
        <f t="shared" si="12"/>
        <v>0</v>
      </c>
      <c r="E49" s="216">
        <f t="shared" si="12"/>
        <v>0</v>
      </c>
      <c r="F49" s="216">
        <f t="shared" si="12"/>
        <v>0</v>
      </c>
      <c r="G49" s="216">
        <f t="shared" si="12"/>
        <v>0</v>
      </c>
      <c r="H49" s="216">
        <f t="shared" si="12"/>
        <v>0</v>
      </c>
      <c r="I49" s="216">
        <f t="shared" si="12"/>
        <v>0</v>
      </c>
      <c r="J49" s="216">
        <f t="shared" si="12"/>
        <v>0</v>
      </c>
      <c r="K49" s="216">
        <f t="shared" si="12"/>
        <v>0</v>
      </c>
      <c r="L49" s="216">
        <f t="shared" si="12"/>
        <v>0</v>
      </c>
      <c r="M49" s="216">
        <f t="shared" si="12"/>
        <v>0</v>
      </c>
      <c r="N49" s="216">
        <f t="shared" si="12"/>
        <v>0</v>
      </c>
      <c r="O49" s="216">
        <f t="shared" si="12"/>
        <v>0</v>
      </c>
      <c r="P49" s="216">
        <f t="shared" si="12"/>
        <v>0</v>
      </c>
      <c r="Q49" s="216">
        <f t="shared" si="12"/>
        <v>0</v>
      </c>
      <c r="R49" s="216">
        <f t="shared" si="12"/>
        <v>0</v>
      </c>
      <c r="S49" s="216">
        <f t="shared" si="12"/>
        <v>0</v>
      </c>
      <c r="T49" s="216">
        <f t="shared" si="12"/>
        <v>0</v>
      </c>
      <c r="U49" s="216">
        <f t="shared" si="12"/>
        <v>0</v>
      </c>
      <c r="V49" s="216">
        <f t="shared" si="12"/>
        <v>0</v>
      </c>
      <c r="W49" s="216">
        <f t="shared" si="12"/>
        <v>0</v>
      </c>
      <c r="X49" s="216">
        <f t="shared" si="12"/>
        <v>0</v>
      </c>
      <c r="Y49" s="216">
        <f t="shared" si="12"/>
        <v>0</v>
      </c>
      <c r="Z49" s="216">
        <f t="shared" si="12"/>
        <v>0</v>
      </c>
      <c r="AA49" s="216">
        <f t="shared" si="12"/>
        <v>0</v>
      </c>
      <c r="AB49" s="216">
        <f t="shared" si="12"/>
        <v>0</v>
      </c>
      <c r="AC49" s="216">
        <f t="shared" si="12"/>
        <v>0</v>
      </c>
      <c r="AD49" s="216">
        <f t="shared" si="12"/>
        <v>0</v>
      </c>
      <c r="AE49" s="216">
        <f t="shared" si="12"/>
        <v>0</v>
      </c>
      <c r="AF49" s="216">
        <f t="shared" ca="1" si="12"/>
        <v>0</v>
      </c>
      <c r="AG49" s="217" t="str">
        <f t="shared" si="2"/>
        <v>Total on call standby hours</v>
      </c>
      <c r="AH49" s="218"/>
      <c r="AI49" s="219">
        <f ca="1">SUM(B49:AF49)</f>
        <v>0</v>
      </c>
      <c r="AJ49" s="214"/>
      <c r="AK49" s="209"/>
      <c r="AL49" s="209"/>
      <c r="AM49" s="209"/>
      <c r="AN49" s="208"/>
      <c r="AO49" s="209"/>
      <c r="AP49" s="209"/>
      <c r="AQ49" s="119"/>
    </row>
    <row r="50" spans="1:43" s="38" customFormat="1" ht="3.75" customHeight="1" collapsed="1" x14ac:dyDescent="0.2">
      <c r="A50" s="231"/>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2"/>
      <c r="AG50" s="232"/>
      <c r="AH50" s="233"/>
      <c r="AI50" s="222"/>
      <c r="AJ50" s="214"/>
      <c r="AK50" s="209"/>
      <c r="AL50" s="209"/>
      <c r="AM50" s="209"/>
      <c r="AN50" s="208"/>
      <c r="AO50" s="209"/>
      <c r="AP50" s="209"/>
      <c r="AQ50" s="119"/>
    </row>
    <row r="51" spans="1:43" s="38" customFormat="1" ht="15" customHeight="1" x14ac:dyDescent="0.2">
      <c r="A51" s="215" t="s">
        <v>76</v>
      </c>
      <c r="B51" s="234">
        <f>ROUND((B23+B45+B84+SUM(B86:B95)+IF(OR(T.50_Vetsuisse,T.ServiceCenterIrchel),B71,0))*1440,0)/1440</f>
        <v>0</v>
      </c>
      <c r="C51" s="234">
        <f t="shared" ref="C51:AF51" si="13">ROUND((C23+C45+C84+SUM(C86:C95)+IF(OR(T.50_Vetsuisse,T.ServiceCenterIrchel),C71,0))*1440,0)/1440</f>
        <v>0</v>
      </c>
      <c r="D51" s="234">
        <f t="shared" si="13"/>
        <v>0</v>
      </c>
      <c r="E51" s="235">
        <f t="shared" si="13"/>
        <v>0</v>
      </c>
      <c r="F51" s="234">
        <f t="shared" si="13"/>
        <v>0</v>
      </c>
      <c r="G51" s="234">
        <f t="shared" si="13"/>
        <v>0</v>
      </c>
      <c r="H51" s="234">
        <f t="shared" si="13"/>
        <v>0</v>
      </c>
      <c r="I51" s="234">
        <f t="shared" si="13"/>
        <v>0</v>
      </c>
      <c r="J51" s="236">
        <f t="shared" si="13"/>
        <v>0</v>
      </c>
      <c r="K51" s="234">
        <f t="shared" si="13"/>
        <v>0</v>
      </c>
      <c r="L51" s="236">
        <f t="shared" si="13"/>
        <v>0</v>
      </c>
      <c r="M51" s="234">
        <f t="shared" si="13"/>
        <v>0</v>
      </c>
      <c r="N51" s="234">
        <f t="shared" si="13"/>
        <v>0</v>
      </c>
      <c r="O51" s="234">
        <f t="shared" si="13"/>
        <v>0</v>
      </c>
      <c r="P51" s="234">
        <f t="shared" si="13"/>
        <v>0</v>
      </c>
      <c r="Q51" s="236">
        <f t="shared" si="13"/>
        <v>0</v>
      </c>
      <c r="R51" s="234">
        <f t="shared" si="13"/>
        <v>0</v>
      </c>
      <c r="S51" s="236">
        <f t="shared" si="13"/>
        <v>0</v>
      </c>
      <c r="T51" s="236">
        <f t="shared" si="13"/>
        <v>0</v>
      </c>
      <c r="U51" s="234">
        <f t="shared" si="13"/>
        <v>0</v>
      </c>
      <c r="V51" s="234">
        <f t="shared" si="13"/>
        <v>0</v>
      </c>
      <c r="W51" s="234">
        <f t="shared" si="13"/>
        <v>0</v>
      </c>
      <c r="X51" s="236">
        <f t="shared" si="13"/>
        <v>0</v>
      </c>
      <c r="Y51" s="234">
        <f t="shared" si="13"/>
        <v>0</v>
      </c>
      <c r="Z51" s="237">
        <f t="shared" si="13"/>
        <v>0</v>
      </c>
      <c r="AA51" s="234">
        <f t="shared" si="13"/>
        <v>0</v>
      </c>
      <c r="AB51" s="234">
        <f t="shared" si="13"/>
        <v>0</v>
      </c>
      <c r="AC51" s="234">
        <f t="shared" si="13"/>
        <v>0</v>
      </c>
      <c r="AD51" s="234">
        <f t="shared" si="13"/>
        <v>0</v>
      </c>
      <c r="AE51" s="236">
        <f t="shared" si="13"/>
        <v>0</v>
      </c>
      <c r="AF51" s="234">
        <f t="shared" si="13"/>
        <v>0</v>
      </c>
      <c r="AG51" s="217" t="str">
        <f t="shared" si="2"/>
        <v>Actual hours worked</v>
      </c>
      <c r="AH51" s="218"/>
      <c r="AI51" s="238">
        <f>SUM(B51:AF51)</f>
        <v>0</v>
      </c>
      <c r="AJ51" s="214"/>
      <c r="AK51" s="209"/>
      <c r="AL51" s="209"/>
      <c r="AM51" s="209"/>
      <c r="AN51" s="239">
        <f ca="1">IF(WEEKDAY(EOMONTH(Monat.Tag1,0),2)=7,0,MAX(0,SUM(OFFSET(B51,0,DAY(EOMONTH(Monat.Tag1,0))-WEEKDAY(EOMONTH(Monat.Tag1,0),2),1,WEEKDAY(EOMONTH(Monat.Tag1,0),2)))))</f>
        <v>0</v>
      </c>
      <c r="AO51" s="209"/>
      <c r="AP51" s="209"/>
      <c r="AQ51" s="119"/>
    </row>
    <row r="52" spans="1:43" s="38" customFormat="1" ht="15" customHeight="1" outlineLevel="1" x14ac:dyDescent="0.2">
      <c r="A52" s="212" t="s">
        <v>211</v>
      </c>
      <c r="B52" s="78">
        <f t="shared" ref="B52:AF52" ca="1" si="14">IF(B$12=0,0,ROUND(INDEX(Monat.RAZ1_7.Bereich,WEEKDAY(B$10,2))*B$11*1440,0)/1440)</f>
        <v>0.35</v>
      </c>
      <c r="C52" s="78">
        <f t="shared" ca="1" si="14"/>
        <v>0.35</v>
      </c>
      <c r="D52" s="79">
        <f t="shared" ca="1" si="14"/>
        <v>0.35</v>
      </c>
      <c r="E52" s="78">
        <f t="shared" ca="1" si="14"/>
        <v>0</v>
      </c>
      <c r="F52" s="79">
        <f t="shared" ca="1" si="14"/>
        <v>0</v>
      </c>
      <c r="G52" s="79">
        <f t="shared" ca="1" si="14"/>
        <v>0.35</v>
      </c>
      <c r="H52" s="79">
        <f t="shared" ca="1" si="14"/>
        <v>0.35</v>
      </c>
      <c r="I52" s="79">
        <f t="shared" ca="1" si="14"/>
        <v>0.35</v>
      </c>
      <c r="J52" s="78">
        <f t="shared" ca="1" si="14"/>
        <v>0.35</v>
      </c>
      <c r="K52" s="79">
        <f t="shared" ca="1" si="14"/>
        <v>0.35</v>
      </c>
      <c r="L52" s="78">
        <f t="shared" ca="1" si="14"/>
        <v>0</v>
      </c>
      <c r="M52" s="79">
        <f t="shared" ca="1" si="14"/>
        <v>0</v>
      </c>
      <c r="N52" s="79">
        <f t="shared" ca="1" si="14"/>
        <v>0.35</v>
      </c>
      <c r="O52" s="79">
        <f t="shared" ca="1" si="14"/>
        <v>0.35</v>
      </c>
      <c r="P52" s="79">
        <f t="shared" ca="1" si="14"/>
        <v>0.35</v>
      </c>
      <c r="Q52" s="78">
        <f t="shared" ca="1" si="14"/>
        <v>0.35</v>
      </c>
      <c r="R52" s="79">
        <f t="shared" ca="1" si="14"/>
        <v>0.35</v>
      </c>
      <c r="S52" s="78">
        <f t="shared" ca="1" si="14"/>
        <v>0</v>
      </c>
      <c r="T52" s="78">
        <f t="shared" ca="1" si="14"/>
        <v>0</v>
      </c>
      <c r="U52" s="79">
        <f t="shared" ca="1" si="14"/>
        <v>0.35</v>
      </c>
      <c r="V52" s="79">
        <f t="shared" ca="1" si="14"/>
        <v>0.35</v>
      </c>
      <c r="W52" s="79">
        <f t="shared" ca="1" si="14"/>
        <v>0.35</v>
      </c>
      <c r="X52" s="78">
        <f t="shared" ca="1" si="14"/>
        <v>0.35</v>
      </c>
      <c r="Y52" s="79">
        <f t="shared" ca="1" si="14"/>
        <v>0.35</v>
      </c>
      <c r="Z52" s="80">
        <f t="shared" ca="1" si="14"/>
        <v>0</v>
      </c>
      <c r="AA52" s="79">
        <f t="shared" ca="1" si="14"/>
        <v>0</v>
      </c>
      <c r="AB52" s="79">
        <f t="shared" ca="1" si="14"/>
        <v>0.35</v>
      </c>
      <c r="AC52" s="79">
        <f t="shared" ca="1" si="14"/>
        <v>0.35</v>
      </c>
      <c r="AD52" s="79">
        <f t="shared" ca="1" si="14"/>
        <v>0.35</v>
      </c>
      <c r="AE52" s="78">
        <f t="shared" ca="1" si="14"/>
        <v>0.35</v>
      </c>
      <c r="AF52" s="79">
        <f t="shared" ca="1" si="14"/>
        <v>0.35</v>
      </c>
      <c r="AG52" s="240" t="str">
        <f t="shared" si="2"/>
        <v>Standardized hours (Info)</v>
      </c>
      <c r="AH52" s="218"/>
      <c r="AI52" s="213"/>
      <c r="AJ52" s="214"/>
      <c r="AK52" s="209"/>
      <c r="AL52" s="209"/>
      <c r="AM52" s="209"/>
      <c r="AN52" s="208"/>
      <c r="AO52" s="209"/>
      <c r="AP52" s="209"/>
      <c r="AQ52" s="119"/>
    </row>
    <row r="53" spans="1:43" s="38" customFormat="1" ht="15" customHeight="1" x14ac:dyDescent="0.2">
      <c r="A53" s="212" t="s">
        <v>212</v>
      </c>
      <c r="B53" s="241">
        <f t="shared" ref="B53:AF53" ca="1" si="15">IF(B$12=0,0,ROUND(INDEX(EB.AZSOLLTag100.Bereich,MATCH(INDEX(EB.Monate.Bereich,MONTH(Monat.Tag1)),EB.Monate.Bereich,0))*B$11*IF(WEEKDAY(B$10,2)&gt;5,0,1)*$V$2/100*1440,0)/1440)</f>
        <v>0.35</v>
      </c>
      <c r="C53" s="241">
        <f t="shared" ca="1" si="15"/>
        <v>0.35</v>
      </c>
      <c r="D53" s="241">
        <f t="shared" ca="1" si="15"/>
        <v>0.35</v>
      </c>
      <c r="E53" s="241">
        <f t="shared" ca="1" si="15"/>
        <v>0</v>
      </c>
      <c r="F53" s="241">
        <f t="shared" ca="1" si="15"/>
        <v>0</v>
      </c>
      <c r="G53" s="241">
        <f t="shared" ca="1" si="15"/>
        <v>0.35</v>
      </c>
      <c r="H53" s="241">
        <f t="shared" ca="1" si="15"/>
        <v>0.35</v>
      </c>
      <c r="I53" s="241">
        <f t="shared" ca="1" si="15"/>
        <v>0.35</v>
      </c>
      <c r="J53" s="241">
        <f t="shared" ca="1" si="15"/>
        <v>0.35</v>
      </c>
      <c r="K53" s="241">
        <f t="shared" ca="1" si="15"/>
        <v>0.35</v>
      </c>
      <c r="L53" s="241">
        <f t="shared" ca="1" si="15"/>
        <v>0</v>
      </c>
      <c r="M53" s="241">
        <f t="shared" ca="1" si="15"/>
        <v>0</v>
      </c>
      <c r="N53" s="241">
        <f t="shared" ca="1" si="15"/>
        <v>0.35</v>
      </c>
      <c r="O53" s="241">
        <f t="shared" ca="1" si="15"/>
        <v>0.35</v>
      </c>
      <c r="P53" s="241">
        <f t="shared" ca="1" si="15"/>
        <v>0.35</v>
      </c>
      <c r="Q53" s="241">
        <f t="shared" ca="1" si="15"/>
        <v>0.35</v>
      </c>
      <c r="R53" s="241">
        <f t="shared" ca="1" si="15"/>
        <v>0.35</v>
      </c>
      <c r="S53" s="241">
        <f t="shared" ca="1" si="15"/>
        <v>0</v>
      </c>
      <c r="T53" s="241">
        <f t="shared" ca="1" si="15"/>
        <v>0</v>
      </c>
      <c r="U53" s="241">
        <f t="shared" ca="1" si="15"/>
        <v>0.35</v>
      </c>
      <c r="V53" s="241">
        <f t="shared" ca="1" si="15"/>
        <v>0.35</v>
      </c>
      <c r="W53" s="241">
        <f t="shared" ca="1" si="15"/>
        <v>0.35</v>
      </c>
      <c r="X53" s="241">
        <f t="shared" ca="1" si="15"/>
        <v>0.35</v>
      </c>
      <c r="Y53" s="241">
        <f t="shared" ca="1" si="15"/>
        <v>0.35</v>
      </c>
      <c r="Z53" s="241">
        <f t="shared" ca="1" si="15"/>
        <v>0</v>
      </c>
      <c r="AA53" s="241">
        <f t="shared" ca="1" si="15"/>
        <v>0</v>
      </c>
      <c r="AB53" s="241">
        <f t="shared" ca="1" si="15"/>
        <v>0.35</v>
      </c>
      <c r="AC53" s="241">
        <f t="shared" ca="1" si="15"/>
        <v>0.35</v>
      </c>
      <c r="AD53" s="241">
        <f t="shared" ca="1" si="15"/>
        <v>0.35</v>
      </c>
      <c r="AE53" s="241">
        <f t="shared" ca="1" si="15"/>
        <v>0.35</v>
      </c>
      <c r="AF53" s="241">
        <f t="shared" ca="1" si="15"/>
        <v>0.35</v>
      </c>
      <c r="AG53" s="205" t="str">
        <f t="shared" si="2"/>
        <v>Req. hours of work FTE</v>
      </c>
      <c r="AH53" s="218"/>
      <c r="AI53" s="238">
        <f ca="1">SUM(B53:AF53)</f>
        <v>8.0499999999999972</v>
      </c>
      <c r="AJ53" s="214"/>
      <c r="AK53" s="209"/>
      <c r="AL53" s="209"/>
      <c r="AM53" s="209"/>
      <c r="AN53" s="208"/>
      <c r="AO53" s="209"/>
      <c r="AP53" s="209"/>
      <c r="AQ53" s="119"/>
    </row>
    <row r="54" spans="1:43" s="38" customFormat="1" ht="15" hidden="1" customHeight="1" outlineLevel="1" x14ac:dyDescent="0.2">
      <c r="A54" s="212" t="s">
        <v>213</v>
      </c>
      <c r="B54" s="241">
        <f t="shared" ref="B54:AF54" ca="1" si="16">ROUND(INDEX(EB.AZSOLLTag100.Bereich,MATCH(INDEX(EB.Monate.Bereich,MONTH(Monat.Tag1)),EB.Monate.Bereich,0))*B$11*IF(WEEKDAY(B$10,2)&gt;5,0,1)*1440,0)/1440</f>
        <v>0.35</v>
      </c>
      <c r="C54" s="241">
        <f t="shared" ca="1" si="16"/>
        <v>0.35</v>
      </c>
      <c r="D54" s="242">
        <f t="shared" ca="1" si="16"/>
        <v>0.35</v>
      </c>
      <c r="E54" s="241">
        <f t="shared" ca="1" si="16"/>
        <v>0</v>
      </c>
      <c r="F54" s="242">
        <f t="shared" ca="1" si="16"/>
        <v>0</v>
      </c>
      <c r="G54" s="242">
        <f t="shared" ca="1" si="16"/>
        <v>0.35</v>
      </c>
      <c r="H54" s="242">
        <f t="shared" ca="1" si="16"/>
        <v>0.35</v>
      </c>
      <c r="I54" s="242">
        <f t="shared" ca="1" si="16"/>
        <v>0.35</v>
      </c>
      <c r="J54" s="241">
        <f t="shared" ca="1" si="16"/>
        <v>0.35</v>
      </c>
      <c r="K54" s="242">
        <f t="shared" ca="1" si="16"/>
        <v>0.35</v>
      </c>
      <c r="L54" s="241">
        <f t="shared" ca="1" si="16"/>
        <v>0</v>
      </c>
      <c r="M54" s="242">
        <f t="shared" ca="1" si="16"/>
        <v>0</v>
      </c>
      <c r="N54" s="242">
        <f t="shared" ca="1" si="16"/>
        <v>0.35</v>
      </c>
      <c r="O54" s="242">
        <f t="shared" ca="1" si="16"/>
        <v>0.35</v>
      </c>
      <c r="P54" s="242">
        <f t="shared" ca="1" si="16"/>
        <v>0.35</v>
      </c>
      <c r="Q54" s="241">
        <f t="shared" ca="1" si="16"/>
        <v>0.35</v>
      </c>
      <c r="R54" s="242">
        <f t="shared" ca="1" si="16"/>
        <v>0.35</v>
      </c>
      <c r="S54" s="241">
        <f t="shared" ca="1" si="16"/>
        <v>0</v>
      </c>
      <c r="T54" s="241">
        <f t="shared" ca="1" si="16"/>
        <v>0</v>
      </c>
      <c r="U54" s="242">
        <f t="shared" ca="1" si="16"/>
        <v>0.35</v>
      </c>
      <c r="V54" s="242">
        <f t="shared" ca="1" si="16"/>
        <v>0.35</v>
      </c>
      <c r="W54" s="242">
        <f t="shared" ca="1" si="16"/>
        <v>0.35</v>
      </c>
      <c r="X54" s="241">
        <f t="shared" ca="1" si="16"/>
        <v>0.35</v>
      </c>
      <c r="Y54" s="242">
        <f t="shared" ca="1" si="16"/>
        <v>0.35</v>
      </c>
      <c r="Z54" s="243">
        <f t="shared" ca="1" si="16"/>
        <v>0</v>
      </c>
      <c r="AA54" s="242">
        <f t="shared" ca="1" si="16"/>
        <v>0</v>
      </c>
      <c r="AB54" s="242">
        <f t="shared" ca="1" si="16"/>
        <v>0.35</v>
      </c>
      <c r="AC54" s="242">
        <f t="shared" ca="1" si="16"/>
        <v>0.35</v>
      </c>
      <c r="AD54" s="242">
        <f t="shared" ca="1" si="16"/>
        <v>0.35</v>
      </c>
      <c r="AE54" s="241">
        <f t="shared" ca="1" si="16"/>
        <v>0.35</v>
      </c>
      <c r="AF54" s="242">
        <f t="shared" ca="1" si="16"/>
        <v>0.35</v>
      </c>
      <c r="AG54" s="205" t="str">
        <f t="shared" si="2"/>
        <v>Req. hours of work 100%</v>
      </c>
      <c r="AH54" s="218"/>
      <c r="AI54" s="238">
        <f ca="1">SUM(B54:AF54)</f>
        <v>8.0499999999999972</v>
      </c>
      <c r="AJ54" s="214"/>
      <c r="AK54" s="209"/>
      <c r="AL54" s="209"/>
      <c r="AM54" s="209"/>
      <c r="AN54" s="208"/>
      <c r="AO54" s="209"/>
      <c r="AP54" s="209"/>
      <c r="AQ54" s="119"/>
    </row>
    <row r="55" spans="1:43" s="38" customFormat="1" ht="15" customHeight="1" collapsed="1" x14ac:dyDescent="0.2">
      <c r="A55" s="244" t="s">
        <v>77</v>
      </c>
      <c r="B55" s="234">
        <f ca="1">ROUND((B51-B53)*1440,0)/1440</f>
        <v>-0.35</v>
      </c>
      <c r="C55" s="234">
        <f t="shared" ref="C55:AF55" ca="1" si="17">ROUND((C51-C53)*1440,0)/1440</f>
        <v>-0.35</v>
      </c>
      <c r="D55" s="234">
        <f t="shared" ca="1" si="17"/>
        <v>-0.35</v>
      </c>
      <c r="E55" s="236">
        <f t="shared" ca="1" si="17"/>
        <v>0</v>
      </c>
      <c r="F55" s="234">
        <f t="shared" ca="1" si="17"/>
        <v>0</v>
      </c>
      <c r="G55" s="234">
        <f t="shared" ca="1" si="17"/>
        <v>-0.35</v>
      </c>
      <c r="H55" s="234">
        <f t="shared" ca="1" si="17"/>
        <v>-0.35</v>
      </c>
      <c r="I55" s="234">
        <f t="shared" ca="1" si="17"/>
        <v>-0.35</v>
      </c>
      <c r="J55" s="236">
        <f t="shared" ca="1" si="17"/>
        <v>-0.35</v>
      </c>
      <c r="K55" s="234">
        <f t="shared" ca="1" si="17"/>
        <v>-0.35</v>
      </c>
      <c r="L55" s="236">
        <f t="shared" ca="1" si="17"/>
        <v>0</v>
      </c>
      <c r="M55" s="234">
        <f t="shared" ca="1" si="17"/>
        <v>0</v>
      </c>
      <c r="N55" s="234">
        <f t="shared" ca="1" si="17"/>
        <v>-0.35</v>
      </c>
      <c r="O55" s="234">
        <f t="shared" ca="1" si="17"/>
        <v>-0.35</v>
      </c>
      <c r="P55" s="234">
        <f t="shared" ca="1" si="17"/>
        <v>-0.35</v>
      </c>
      <c r="Q55" s="236">
        <f t="shared" ca="1" si="17"/>
        <v>-0.35</v>
      </c>
      <c r="R55" s="234">
        <f t="shared" ca="1" si="17"/>
        <v>-0.35</v>
      </c>
      <c r="S55" s="236">
        <f t="shared" ca="1" si="17"/>
        <v>0</v>
      </c>
      <c r="T55" s="236">
        <f t="shared" ca="1" si="17"/>
        <v>0</v>
      </c>
      <c r="U55" s="234">
        <f t="shared" ca="1" si="17"/>
        <v>-0.35</v>
      </c>
      <c r="V55" s="234">
        <f t="shared" ca="1" si="17"/>
        <v>-0.35</v>
      </c>
      <c r="W55" s="234">
        <f t="shared" ca="1" si="17"/>
        <v>-0.35</v>
      </c>
      <c r="X55" s="236">
        <f t="shared" ca="1" si="17"/>
        <v>-0.35</v>
      </c>
      <c r="Y55" s="234">
        <f t="shared" ca="1" si="17"/>
        <v>-0.35</v>
      </c>
      <c r="Z55" s="237">
        <f t="shared" ca="1" si="17"/>
        <v>0</v>
      </c>
      <c r="AA55" s="234">
        <f t="shared" ca="1" si="17"/>
        <v>0</v>
      </c>
      <c r="AB55" s="234">
        <f t="shared" ca="1" si="17"/>
        <v>-0.35</v>
      </c>
      <c r="AC55" s="234">
        <f t="shared" ca="1" si="17"/>
        <v>-0.35</v>
      </c>
      <c r="AD55" s="234">
        <f t="shared" ca="1" si="17"/>
        <v>-0.35</v>
      </c>
      <c r="AE55" s="236">
        <f t="shared" ca="1" si="17"/>
        <v>-0.35</v>
      </c>
      <c r="AF55" s="234">
        <f t="shared" ca="1" si="17"/>
        <v>-0.35</v>
      </c>
      <c r="AG55" s="205" t="str">
        <f t="shared" si="2"/>
        <v>+/- required/actual hours daily</v>
      </c>
      <c r="AH55" s="218"/>
      <c r="AI55" s="238">
        <f ca="1">SUM(B55:AF55)</f>
        <v>-8.0499999999999972</v>
      </c>
      <c r="AJ55" s="214"/>
      <c r="AK55" s="209"/>
      <c r="AL55" s="245">
        <f ca="1">IF(EB.Anwendung&lt;&gt;"",IF(MONTH(Monat.Tag1)=1,0,IF(MONTH(Monat.Tag1)=2,January!Monat.Soll_Ist_UeVM,IF(MONTH(Monat.Tag1)=3,February!Monat.Soll_Ist_UeVM,IF(MONTH(Monat.Tag1)=4,March!Monat.Soll_Ist_UeVM,IF(MONTH(Monat.Tag1)=5,April!Monat.Soll_Ist_UeVM,IF(MONTH(Monat.Tag1)=6,May!Monat.Soll_Ist_UeVM,IF(MONTH(Monat.Tag1)=7,June!Monat.Soll_Ist_UeVM,IF(MONTH(Monat.Tag1)=8,July!Monat.Soll_Ist_UeVM,IF(MONTH(Monat.Tag1)=9,August!Monat.Soll_Ist_UeVM,IF(MONTH(Monat.Tag1)=10,September!Monat.Soll_Ist_UeVM,IF(MONTH(Monat.Tag1)=11,October!Monat.Soll_Ist_UeVM,IF(MONTH(Monat.Tag1)=12,November!Monat.Soll_Ist_UeVM,"")))))))))))),"")</f>
        <v>-7.349999999999997</v>
      </c>
      <c r="AM55" s="209"/>
      <c r="AN55" s="246">
        <f ca="1">IF(AH57="+",(AI55+AI57),(AI55-AI57))</f>
        <v>-8.0499999999999972</v>
      </c>
      <c r="AO55" s="246">
        <f ca="1">SUM(OFFSET(J.AZSaldo.Total,-12,0,MONTH(Monat.Tag1),1))</f>
        <v>-50.72499999999998</v>
      </c>
      <c r="AP55" s="246">
        <f ca="1">J.AZSaldo.Total</f>
        <v>-88.07499999999996</v>
      </c>
      <c r="AQ55" s="119"/>
    </row>
    <row r="56" spans="1:43" s="38" customFormat="1" ht="15" customHeight="1" x14ac:dyDescent="0.2">
      <c r="A56" s="244" t="s">
        <v>214</v>
      </c>
      <c r="B56" s="247">
        <f ca="1">IF(EB.Anwendung&lt;&gt;"",IF(DAY(B$10)=1,IF(MONTH(Monat.Tag1)=1,ROUND(EB.ÜVMMS*1440,0)/1440,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B$10&gt;TODAY(),EB.UJAustritt=""),0,B55),
IF(AND(B$10&gt;TODAY(),EB.UJAustritt=""),A56,A56+B55)),"")</f>
        <v>0</v>
      </c>
      <c r="C56" s="247">
        <f ca="1">IF(EB.Anwendung&lt;&gt;"",IF(DAY(C$10)=1,IF(MONTH(Monat.Tag1)=1,ROUND(EB.ÜVMMS*1440,0)/1440,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C$10&gt;TODAY(),EB.UJAustritt=""),0,C55),
IF(AND(C$10&gt;TODAY(),EB.UJAustritt=""),B56,B56+C55)),"")</f>
        <v>0</v>
      </c>
      <c r="D56" s="247">
        <f ca="1">IF(EB.Anwendung&lt;&gt;"",IF(DAY(D$10)=1,IF(MONTH(Monat.Tag1)=1,ROUND(EB.ÜVMMS*1440,0)/1440,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D$10&gt;TODAY(),EB.UJAustritt=""),0,D55),
IF(AND(D$10&gt;TODAY(),EB.UJAustritt=""),C56,C56+D55)),"")</f>
        <v>0</v>
      </c>
      <c r="E56" s="247">
        <f ca="1">IF(EB.Anwendung&lt;&gt;"",IF(DAY(E$10)=1,IF(MONTH(Monat.Tag1)=1,ROUND(EB.ÜVMMS*1440,0)/1440,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E$10&gt;TODAY(),EB.UJAustritt=""),0,E55),
IF(AND(E$10&gt;TODAY(),EB.UJAustritt=""),D56,D56+E55)),"")</f>
        <v>0</v>
      </c>
      <c r="F56" s="247">
        <f ca="1">IF(EB.Anwendung&lt;&gt;"",IF(DAY(F$10)=1,IF(MONTH(Monat.Tag1)=1,ROUND(EB.ÜVMMS*1440,0)/1440,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F$10&gt;TODAY(),EB.UJAustritt=""),0,F55),
IF(AND(F$10&gt;TODAY(),EB.UJAustritt=""),E56,E56+F55)),"")</f>
        <v>0</v>
      </c>
      <c r="G56" s="247">
        <f ca="1">IF(EB.Anwendung&lt;&gt;"",IF(DAY(G$10)=1,IF(MONTH(Monat.Tag1)=1,ROUND(EB.ÜVMMS*1440,0)/1440,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G$10&gt;TODAY(),EB.UJAustritt=""),0,G55),
IF(AND(G$10&gt;TODAY(),EB.UJAustritt=""),F56,F56+G55)),"")</f>
        <v>0</v>
      </c>
      <c r="H56" s="247">
        <f ca="1">IF(EB.Anwendung&lt;&gt;"",IF(DAY(H$10)=1,IF(MONTH(Monat.Tag1)=1,ROUND(EB.ÜVMMS*1440,0)/1440,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H$10&gt;TODAY(),EB.UJAustritt=""),0,H55),
IF(AND(H$10&gt;TODAY(),EB.UJAustritt=""),G56,G56+H55)),"")</f>
        <v>0</v>
      </c>
      <c r="I56" s="247">
        <f ca="1">IF(EB.Anwendung&lt;&gt;"",IF(DAY(I$10)=1,IF(MONTH(Monat.Tag1)=1,ROUND(EB.ÜVMMS*1440,0)/1440,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I$10&gt;TODAY(),EB.UJAustritt=""),0,I55),
IF(AND(I$10&gt;TODAY(),EB.UJAustritt=""),H56,H56+I55)),"")</f>
        <v>0</v>
      </c>
      <c r="J56" s="247">
        <f ca="1">IF(EB.Anwendung&lt;&gt;"",IF(DAY(J$10)=1,IF(MONTH(Monat.Tag1)=1,ROUND(EB.ÜVMMS*1440,0)/1440,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J$10&gt;TODAY(),EB.UJAustritt=""),0,J55),
IF(AND(J$10&gt;TODAY(),EB.UJAustritt=""),I56,I56+J55)),"")</f>
        <v>0</v>
      </c>
      <c r="K56" s="247">
        <f ca="1">IF(EB.Anwendung&lt;&gt;"",IF(DAY(K$10)=1,IF(MONTH(Monat.Tag1)=1,ROUND(EB.ÜVMMS*1440,0)/1440,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K$10&gt;TODAY(),EB.UJAustritt=""),0,K55),
IF(AND(K$10&gt;TODAY(),EB.UJAustritt=""),J56,J56+K55)),"")</f>
        <v>0</v>
      </c>
      <c r="L56" s="247">
        <f ca="1">IF(EB.Anwendung&lt;&gt;"",IF(DAY(L$10)=1,IF(MONTH(Monat.Tag1)=1,ROUND(EB.ÜVMMS*1440,0)/1440,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L$10&gt;TODAY(),EB.UJAustritt=""),0,L55),
IF(AND(L$10&gt;TODAY(),EB.UJAustritt=""),K56,K56+L55)),"")</f>
        <v>0</v>
      </c>
      <c r="M56" s="247">
        <f ca="1">IF(EB.Anwendung&lt;&gt;"",IF(DAY(M$10)=1,IF(MONTH(Monat.Tag1)=1,ROUND(EB.ÜVMMS*1440,0)/1440,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M$10&gt;TODAY(),EB.UJAustritt=""),0,M55),
IF(AND(M$10&gt;TODAY(),EB.UJAustritt=""),L56,L56+M55)),"")</f>
        <v>0</v>
      </c>
      <c r="N56" s="247">
        <f ca="1">IF(EB.Anwendung&lt;&gt;"",IF(DAY(N$10)=1,IF(MONTH(Monat.Tag1)=1,ROUND(EB.ÜVMMS*1440,0)/1440,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N$10&gt;TODAY(),EB.UJAustritt=""),0,N55),
IF(AND(N$10&gt;TODAY(),EB.UJAustritt=""),M56,M56+N55)),"")</f>
        <v>0</v>
      </c>
      <c r="O56" s="247">
        <f ca="1">IF(EB.Anwendung&lt;&gt;"",IF(DAY(O$10)=1,IF(MONTH(Monat.Tag1)=1,ROUND(EB.ÜVMMS*1440,0)/1440,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O$10&gt;TODAY(),EB.UJAustritt=""),0,O55),
IF(AND(O$10&gt;TODAY(),EB.UJAustritt=""),N56,N56+O55)),"")</f>
        <v>0</v>
      </c>
      <c r="P56" s="247">
        <f ca="1">IF(EB.Anwendung&lt;&gt;"",IF(DAY(P$10)=1,IF(MONTH(Monat.Tag1)=1,ROUND(EB.ÜVMMS*1440,0)/1440,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P$10&gt;TODAY(),EB.UJAustritt=""),0,P55),
IF(AND(P$10&gt;TODAY(),EB.UJAustritt=""),O56,O56+P55)),"")</f>
        <v>0</v>
      </c>
      <c r="Q56" s="247">
        <f ca="1">IF(EB.Anwendung&lt;&gt;"",IF(DAY(Q$10)=1,IF(MONTH(Monat.Tag1)=1,ROUND(EB.ÜVMMS*1440,0)/1440,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Q$10&gt;TODAY(),EB.UJAustritt=""),0,Q55),
IF(AND(Q$10&gt;TODAY(),EB.UJAustritt=""),P56,P56+Q55)),"")</f>
        <v>0</v>
      </c>
      <c r="R56" s="247">
        <f ca="1">IF(EB.Anwendung&lt;&gt;"",IF(DAY(R$10)=1,IF(MONTH(Monat.Tag1)=1,ROUND(EB.ÜVMMS*1440,0)/1440,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R$10&gt;TODAY(),EB.UJAustritt=""),0,R55),
IF(AND(R$10&gt;TODAY(),EB.UJAustritt=""),Q56,Q56+R55)),"")</f>
        <v>0</v>
      </c>
      <c r="S56" s="247">
        <f ca="1">IF(EB.Anwendung&lt;&gt;"",IF(DAY(S$10)=1,IF(MONTH(Monat.Tag1)=1,ROUND(EB.ÜVMMS*1440,0)/1440,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S$10&gt;TODAY(),EB.UJAustritt=""),0,S55),
IF(AND(S$10&gt;TODAY(),EB.UJAustritt=""),R56,R56+S55)),"")</f>
        <v>0</v>
      </c>
      <c r="T56" s="247">
        <f ca="1">IF(EB.Anwendung&lt;&gt;"",IF(DAY(T$10)=1,IF(MONTH(Monat.Tag1)=1,ROUND(EB.ÜVMMS*1440,0)/1440,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T$10&gt;TODAY(),EB.UJAustritt=""),0,T55),
IF(AND(T$10&gt;TODAY(),EB.UJAustritt=""),S56,S56+T55)),"")</f>
        <v>0</v>
      </c>
      <c r="U56" s="247">
        <f ca="1">IF(EB.Anwendung&lt;&gt;"",IF(DAY(U$10)=1,IF(MONTH(Monat.Tag1)=1,ROUND(EB.ÜVMMS*1440,0)/1440,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U$10&gt;TODAY(),EB.UJAustritt=""),0,U55),
IF(AND(U$10&gt;TODAY(),EB.UJAustritt=""),T56,T56+U55)),"")</f>
        <v>0</v>
      </c>
      <c r="V56" s="247">
        <f ca="1">IF(EB.Anwendung&lt;&gt;"",IF(DAY(V$10)=1,IF(MONTH(Monat.Tag1)=1,ROUND(EB.ÜVMMS*1440,0)/1440,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V$10&gt;TODAY(),EB.UJAustritt=""),0,V55),
IF(AND(V$10&gt;TODAY(),EB.UJAustritt=""),U56,U56+V55)),"")</f>
        <v>0</v>
      </c>
      <c r="W56" s="247">
        <f ca="1">IF(EB.Anwendung&lt;&gt;"",IF(DAY(W$10)=1,IF(MONTH(Monat.Tag1)=1,ROUND(EB.ÜVMMS*1440,0)/1440,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W$10&gt;TODAY(),EB.UJAustritt=""),0,W55),
IF(AND(W$10&gt;TODAY(),EB.UJAustritt=""),V56,V56+W55)),"")</f>
        <v>0</v>
      </c>
      <c r="X56" s="247">
        <f ca="1">IF(EB.Anwendung&lt;&gt;"",IF(DAY(X$10)=1,IF(MONTH(Monat.Tag1)=1,ROUND(EB.ÜVMMS*1440,0)/1440,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X$10&gt;TODAY(),EB.UJAustritt=""),0,X55),
IF(AND(X$10&gt;TODAY(),EB.UJAustritt=""),W56,W56+X55)),"")</f>
        <v>0</v>
      </c>
      <c r="Y56" s="247">
        <f ca="1">IF(EB.Anwendung&lt;&gt;"",IF(DAY(Y$10)=1,IF(MONTH(Monat.Tag1)=1,ROUND(EB.ÜVMMS*1440,0)/1440,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Y$10&gt;TODAY(),EB.UJAustritt=""),0,Y55),
IF(AND(Y$10&gt;TODAY(),EB.UJAustritt=""),X56,X56+Y55)),"")</f>
        <v>0</v>
      </c>
      <c r="Z56" s="247">
        <f ca="1">IF(EB.Anwendung&lt;&gt;"",IF(DAY(Z$10)=1,IF(MONTH(Monat.Tag1)=1,ROUND(EB.ÜVMMS*1440,0)/1440,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Z$10&gt;TODAY(),EB.UJAustritt=""),0,Z55),
IF(AND(Z$10&gt;TODAY(),EB.UJAustritt=""),Y56,Y56+Z55)),"")</f>
        <v>0</v>
      </c>
      <c r="AA56" s="247">
        <f ca="1">IF(EB.Anwendung&lt;&gt;"",IF(DAY(AA$10)=1,IF(MONTH(Monat.Tag1)=1,ROUND(EB.ÜVMMS*1440,0)/1440,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A$10&gt;TODAY(),EB.UJAustritt=""),0,AA55),
IF(AND(AA$10&gt;TODAY(),EB.UJAustritt=""),Z56,Z56+AA55)),"")</f>
        <v>0</v>
      </c>
      <c r="AB56" s="247">
        <f ca="1">IF(EB.Anwendung&lt;&gt;"",IF(DAY(AB$10)=1,IF(MONTH(Monat.Tag1)=1,ROUND(EB.ÜVMMS*1440,0)/1440,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B$10&gt;TODAY(),EB.UJAustritt=""),0,AB55),
IF(AND(AB$10&gt;TODAY(),EB.UJAustritt=""),AA56,AA56+AB55)),"")</f>
        <v>0</v>
      </c>
      <c r="AC56" s="247">
        <f ca="1">IF(EB.Anwendung&lt;&gt;"",IF(DAY(AC$10)=1,IF(MONTH(Monat.Tag1)=1,ROUND(EB.ÜVMMS*1440,0)/1440,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C$10&gt;TODAY(),EB.UJAustritt=""),0,AC55),
IF(AND(AC$10&gt;TODAY(),EB.UJAustritt=""),AB56,AB56+AC55)),"")</f>
        <v>0</v>
      </c>
      <c r="AD56" s="247">
        <f ca="1">IF(EB.Anwendung&lt;&gt;"",IF(DAY(AD$10)=1,IF(MONTH(Monat.Tag1)=1,ROUND(EB.ÜVMMS*1440,0)/1440,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D$10&gt;TODAY(),EB.UJAustritt=""),0,AD55),
IF(AND(AD$10&gt;TODAY(),EB.UJAustritt=""),AC56,AC56+AD55)),"")</f>
        <v>0</v>
      </c>
      <c r="AE56" s="247">
        <f ca="1">IF(EB.Anwendung&lt;&gt;"",IF(DAY(AE$10)=1,IF(MONTH(Monat.Tag1)=1,ROUND(EB.ÜVMMS*1440,0)/1440,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E$10&gt;TODAY(),EB.UJAustritt=""),0,AE55),
IF(AND(AE$10&gt;TODAY(),EB.UJAustritt=""),AD56,AD56+AE55)),"")</f>
        <v>0</v>
      </c>
      <c r="AF56" s="247">
        <f ca="1">IF(EB.Anwendung&lt;&gt;"",IF(DAY(AF$10)=1,IF(MONTH(Monat.Tag1)=1,ROUND(EB.ÜVMMS*1440,0)/1440,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F$10&gt;TODAY(),EB.UJAustritt=""),0,AF55),
IF(AND(AF$10&gt;TODAY(),EB.UJAustritt=""),AE56,AE56+AF55)),"")</f>
        <v>0</v>
      </c>
      <c r="AG56" s="205" t="str">
        <f t="shared" si="2"/>
        <v>current extra/minus hours</v>
      </c>
      <c r="AH56" s="218"/>
      <c r="AI56" s="238">
        <f ca="1">OFFSET(B56,0,DAY(EOMONTH(Monat.Tag1,0))-1,1,1)</f>
        <v>0</v>
      </c>
      <c r="AJ56" s="214"/>
      <c r="AK56" s="209"/>
      <c r="AL56" s="209"/>
      <c r="AM56" s="209"/>
      <c r="AN56" s="208"/>
      <c r="AO56" s="209"/>
      <c r="AP56" s="209"/>
      <c r="AQ56" s="119"/>
    </row>
    <row r="57" spans="1:43" s="42" customFormat="1" ht="15" customHeight="1" outlineLevel="1" x14ac:dyDescent="0.2">
      <c r="A57" s="248"/>
      <c r="B57" s="249"/>
      <c r="C57" s="249"/>
      <c r="D57" s="249"/>
      <c r="E57" s="191"/>
      <c r="F57" s="249"/>
      <c r="G57" s="249"/>
      <c r="H57" s="250"/>
      <c r="I57" s="249"/>
      <c r="J57" s="251"/>
      <c r="K57" s="249"/>
      <c r="L57" s="252"/>
      <c r="M57" s="249"/>
      <c r="N57" s="249"/>
      <c r="O57" s="250"/>
      <c r="P57" s="249"/>
      <c r="Q57" s="191"/>
      <c r="R57" s="249"/>
      <c r="S57" s="252"/>
      <c r="T57" s="249"/>
      <c r="U57" s="249"/>
      <c r="V57" s="250"/>
      <c r="W57" s="249"/>
      <c r="X57" s="253"/>
      <c r="Y57" s="249"/>
      <c r="Z57" s="191"/>
      <c r="AA57" s="249"/>
      <c r="AB57" s="249"/>
      <c r="AC57" s="250"/>
      <c r="AD57" s="249"/>
      <c r="AE57" s="191"/>
      <c r="AF57" s="254"/>
      <c r="AG57" s="212" t="s">
        <v>117</v>
      </c>
      <c r="AH57" s="43" t="s">
        <v>2</v>
      </c>
      <c r="AI57" s="73"/>
      <c r="AJ57" s="255"/>
      <c r="AK57" s="256"/>
      <c r="AL57" s="209"/>
      <c r="AM57" s="209"/>
      <c r="AN57" s="208"/>
      <c r="AO57" s="257"/>
      <c r="AP57" s="257"/>
      <c r="AQ57" s="163"/>
    </row>
    <row r="58" spans="1:43" s="44" customFormat="1" ht="15" customHeight="1" x14ac:dyDescent="0.2">
      <c r="A58" s="258"/>
      <c r="B58" s="252"/>
      <c r="C58" s="252"/>
      <c r="D58" s="252"/>
      <c r="E58" s="191"/>
      <c r="F58" s="252"/>
      <c r="G58" s="252"/>
      <c r="H58" s="252"/>
      <c r="I58" s="252"/>
      <c r="J58" s="191"/>
      <c r="K58" s="252"/>
      <c r="L58" s="252"/>
      <c r="M58" s="252"/>
      <c r="N58" s="252"/>
      <c r="O58" s="252"/>
      <c r="P58" s="252"/>
      <c r="Q58" s="191"/>
      <c r="R58" s="252"/>
      <c r="S58" s="252"/>
      <c r="T58" s="252"/>
      <c r="U58" s="252"/>
      <c r="V58" s="252"/>
      <c r="W58" s="252"/>
      <c r="X58" s="253"/>
      <c r="Y58" s="252"/>
      <c r="Z58" s="191"/>
      <c r="AA58" s="252"/>
      <c r="AB58" s="252"/>
      <c r="AC58" s="252"/>
      <c r="AD58" s="252"/>
      <c r="AE58" s="191"/>
      <c r="AF58" s="259"/>
      <c r="AG58" s="260" t="s">
        <v>78</v>
      </c>
      <c r="AH58" s="218"/>
      <c r="AI58" s="238">
        <f ca="1">IF(AH57="+",(Monat.ZUeZ.Total+AI57),(Monat.ZUeZ.Total-AI57))</f>
        <v>0</v>
      </c>
      <c r="AJ58" s="261"/>
      <c r="AK58" s="262"/>
      <c r="AL58" s="245">
        <f ca="1">IF(EB.Anwendung&lt;&gt;"",IF(MONTH(Monat.Tag1)=1,EB.MMS,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f>
        <v>0</v>
      </c>
      <c r="AM58" s="209"/>
      <c r="AN58" s="246">
        <f ca="1">AI58</f>
        <v>0</v>
      </c>
      <c r="AO58" s="209"/>
      <c r="AP58" s="209"/>
      <c r="AQ58" s="131"/>
    </row>
    <row r="59" spans="1:43" s="38" customFormat="1" ht="11.25" customHeight="1" x14ac:dyDescent="0.2">
      <c r="A59" s="220"/>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2"/>
      <c r="AG59" s="205"/>
      <c r="AH59" s="188"/>
      <c r="AI59" s="213"/>
      <c r="AJ59" s="214"/>
      <c r="AK59" s="209"/>
      <c r="AL59" s="209"/>
      <c r="AM59" s="209"/>
      <c r="AN59" s="208"/>
      <c r="AO59" s="209"/>
      <c r="AP59" s="209"/>
      <c r="AQ59" s="119"/>
    </row>
    <row r="60" spans="1:43" s="38" customFormat="1" ht="15" customHeight="1" x14ac:dyDescent="0.2">
      <c r="A60" s="212" t="s">
        <v>217</v>
      </c>
      <c r="B60" s="263" t="str">
        <f ca="1">IF(EB.Wochenarbeitszeit=50/24,IF(T.50_Vetsuisse,IF(WEEKDAY(B$10,2)=7,MAX(0,SUM(OFFSET(B51,0,-MIN(6,DAY(B$10)-1),1,MIN(7,DAY(B$10))))+IF(AND(MONTH(Monat.Tag1)&lt;&gt;1,DAY(B$10)&lt;7),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-1/24*50),""),""),IF(B45=0,"",B45))</f>
        <v/>
      </c>
      <c r="C60" s="263" t="str">
        <f ca="1">IF(EB.Wochenarbeitszeit=50/24,IF(T.50_Vetsuisse,IF(WEEKDAY(C$10,2)=7,MAX(0,SUM(OFFSET(C51,0,-MIN(6,DAY(C$10)-1),1,MIN(7,DAY(C$10))))+IF(AND(MONTH(Monat.Tag1)&lt;&gt;1,DAY(C$10)&lt;7),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-1/24*50),""),""),IF(C45=0,"",C45))</f>
        <v/>
      </c>
      <c r="D60" s="263" t="str">
        <f ca="1">IF(EB.Wochenarbeitszeit=50/24,IF(T.50_Vetsuisse,IF(WEEKDAY(D$10,2)=7,MAX(0,SUM(OFFSET(D51,0,-MIN(6,DAY(D$10)-1),1,MIN(7,DAY(D$10))))+IF(AND(MONTH(Monat.Tag1)&lt;&gt;1,DAY(D$10)&lt;7),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-1/24*50),""),""),IF(D45=0,"",D45))</f>
        <v/>
      </c>
      <c r="E60" s="264" t="str">
        <f ca="1">IF(EB.Wochenarbeitszeit=50/24,IF(T.50_Vetsuisse,IF(WEEKDAY(E$10,2)=7,MAX(0,SUM(OFFSET(E51,0,-MIN(6,DAY(E$10)-1),1,MIN(7,DAY(E$10))))+IF(AND(MONTH(Monat.Tag1)&lt;&gt;1,DAY(E$10)&lt;7),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-1/24*50),""),""),IF(E45=0,"",E45))</f>
        <v/>
      </c>
      <c r="F60" s="263" t="str">
        <f ca="1">IF(EB.Wochenarbeitszeit=50/24,IF(T.50_Vetsuisse,IF(WEEKDAY(F$10,2)=7,MAX(0,SUM(OFFSET(F51,0,-MIN(6,DAY(F$10)-1),1,MIN(7,DAY(F$10))))+IF(AND(MONTH(Monat.Tag1)&lt;&gt;1,DAY(F$10)&lt;7),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-1/24*50),""),""),IF(F45=0,"",F45))</f>
        <v/>
      </c>
      <c r="G60" s="263" t="str">
        <f ca="1">IF(EB.Wochenarbeitszeit=50/24,IF(T.50_Vetsuisse,IF(WEEKDAY(G$10,2)=7,MAX(0,SUM(OFFSET(G51,0,-MIN(6,DAY(G$10)-1),1,MIN(7,DAY(G$10))))+IF(AND(MONTH(Monat.Tag1)&lt;&gt;1,DAY(G$10)&lt;7),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-1/24*50),""),""),IF(G45=0,"",G45))</f>
        <v/>
      </c>
      <c r="H60" s="263" t="str">
        <f ca="1">IF(EB.Wochenarbeitszeit=50/24,IF(T.50_Vetsuisse,IF(WEEKDAY(H$10,2)=7,MAX(0,SUM(OFFSET(H51,0,-MIN(6,DAY(H$10)-1),1,MIN(7,DAY(H$10))))+IF(AND(MONTH(Monat.Tag1)&lt;&gt;1,DAY(H$10)&lt;7),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-1/24*50),""),""),IF(H45=0,"",H45))</f>
        <v/>
      </c>
      <c r="I60" s="263" t="str">
        <f ca="1">IF(EB.Wochenarbeitszeit=50/24,IF(T.50_Vetsuisse,IF(WEEKDAY(I$10,2)=7,MAX(0,SUM(OFFSET(I51,0,-MIN(6,DAY(I$10)-1),1,MIN(7,DAY(I$10))))+IF(AND(MONTH(Monat.Tag1)&lt;&gt;1,DAY(I$10)&lt;7),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-1/24*50),""),""),IF(I45=0,"",I45))</f>
        <v/>
      </c>
      <c r="J60" s="264" t="str">
        <f ca="1">IF(EB.Wochenarbeitszeit=50/24,IF(T.50_Vetsuisse,IF(WEEKDAY(J$10,2)=7,MAX(0,SUM(OFFSET(J51,0,-MIN(6,DAY(J$10)-1),1,MIN(7,DAY(J$10))))+IF(AND(MONTH(Monat.Tag1)&lt;&gt;1,DAY(J$10)&lt;7),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-1/24*50),""),""),IF(J45=0,"",J45))</f>
        <v/>
      </c>
      <c r="K60" s="263" t="str">
        <f ca="1">IF(EB.Wochenarbeitszeit=50/24,IF(T.50_Vetsuisse,IF(WEEKDAY(K$10,2)=7,MAX(0,SUM(OFFSET(K51,0,-MIN(6,DAY(K$10)-1),1,MIN(7,DAY(K$10))))+IF(AND(MONTH(Monat.Tag1)&lt;&gt;1,DAY(K$10)&lt;7),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-1/24*50),""),""),IF(K45=0,"",K45))</f>
        <v/>
      </c>
      <c r="L60" s="264" t="str">
        <f ca="1">IF(EB.Wochenarbeitszeit=50/24,IF(T.50_Vetsuisse,IF(WEEKDAY(L$10,2)=7,MAX(0,SUM(OFFSET(L51,0,-MIN(6,DAY(L$10)-1),1,MIN(7,DAY(L$10))))+IF(AND(MONTH(Monat.Tag1)&lt;&gt;1,DAY(L$10)&lt;7),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-1/24*50),""),""),IF(L45=0,"",L45))</f>
        <v/>
      </c>
      <c r="M60" s="263" t="str">
        <f ca="1">IF(EB.Wochenarbeitszeit=50/24,IF(T.50_Vetsuisse,IF(WEEKDAY(M$10,2)=7,MAX(0,SUM(OFFSET(M51,0,-MIN(6,DAY(M$10)-1),1,MIN(7,DAY(M$10))))+IF(AND(MONTH(Monat.Tag1)&lt;&gt;1,DAY(M$10)&lt;7),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-1/24*50),""),""),IF(M45=0,"",M45))</f>
        <v/>
      </c>
      <c r="N60" s="263" t="str">
        <f ca="1">IF(EB.Wochenarbeitszeit=50/24,IF(T.50_Vetsuisse,IF(WEEKDAY(N$10,2)=7,MAX(0,SUM(OFFSET(N51,0,-MIN(6,DAY(N$10)-1),1,MIN(7,DAY(N$10))))+IF(AND(MONTH(Monat.Tag1)&lt;&gt;1,DAY(N$10)&lt;7),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-1/24*50),""),""),IF(N45=0,"",N45))</f>
        <v/>
      </c>
      <c r="O60" s="263" t="str">
        <f ca="1">IF(EB.Wochenarbeitszeit=50/24,IF(T.50_Vetsuisse,IF(WEEKDAY(O$10,2)=7,MAX(0,SUM(OFFSET(O51,0,-MIN(6,DAY(O$10)-1),1,MIN(7,DAY(O$10))))+IF(AND(MONTH(Monat.Tag1)&lt;&gt;1,DAY(O$10)&lt;7),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-1/24*50),""),""),IF(O45=0,"",O45))</f>
        <v/>
      </c>
      <c r="P60" s="263" t="str">
        <f ca="1">IF(EB.Wochenarbeitszeit=50/24,IF(T.50_Vetsuisse,IF(WEEKDAY(P$10,2)=7,MAX(0,SUM(OFFSET(P51,0,-MIN(6,DAY(P$10)-1),1,MIN(7,DAY(P$10))))+IF(AND(MONTH(Monat.Tag1)&lt;&gt;1,DAY(P$10)&lt;7),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-1/24*50),""),""),IF(P45=0,"",P45))</f>
        <v/>
      </c>
      <c r="Q60" s="264" t="str">
        <f ca="1">IF(EB.Wochenarbeitszeit=50/24,IF(T.50_Vetsuisse,IF(WEEKDAY(Q$10,2)=7,MAX(0,SUM(OFFSET(Q51,0,-MIN(6,DAY(Q$10)-1),1,MIN(7,DAY(Q$10))))+IF(AND(MONTH(Monat.Tag1)&lt;&gt;1,DAY(Q$10)&lt;7),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-1/24*50),""),""),IF(Q45=0,"",Q45))</f>
        <v/>
      </c>
      <c r="R60" s="263" t="str">
        <f ca="1">IF(EB.Wochenarbeitszeit=50/24,IF(T.50_Vetsuisse,IF(WEEKDAY(R$10,2)=7,MAX(0,SUM(OFFSET(R51,0,-MIN(6,DAY(R$10)-1),1,MIN(7,DAY(R$10))))+IF(AND(MONTH(Monat.Tag1)&lt;&gt;1,DAY(R$10)&lt;7),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-1/24*50),""),""),IF(R45=0,"",R45))</f>
        <v/>
      </c>
      <c r="S60" s="264" t="str">
        <f ca="1">IF(EB.Wochenarbeitszeit=50/24,IF(T.50_Vetsuisse,IF(WEEKDAY(S$10,2)=7,MAX(0,SUM(OFFSET(S51,0,-MIN(6,DAY(S$10)-1),1,MIN(7,DAY(S$10))))+IF(AND(MONTH(Monat.Tag1)&lt;&gt;1,DAY(S$10)&lt;7),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-1/24*50),""),""),IF(S45=0,"",S45))</f>
        <v/>
      </c>
      <c r="T60" s="264" t="str">
        <f ca="1">IF(EB.Wochenarbeitszeit=50/24,IF(T.50_Vetsuisse,IF(WEEKDAY(T$10,2)=7,MAX(0,SUM(OFFSET(T51,0,-MIN(6,DAY(T$10)-1),1,MIN(7,DAY(T$10))))+IF(AND(MONTH(Monat.Tag1)&lt;&gt;1,DAY(T$10)&lt;7),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-1/24*50),""),""),IF(T45=0,"",T45))</f>
        <v/>
      </c>
      <c r="U60" s="263" t="str">
        <f ca="1">IF(EB.Wochenarbeitszeit=50/24,IF(T.50_Vetsuisse,IF(WEEKDAY(U$10,2)=7,MAX(0,SUM(OFFSET(U51,0,-MIN(6,DAY(U$10)-1),1,MIN(7,DAY(U$10))))+IF(AND(MONTH(Monat.Tag1)&lt;&gt;1,DAY(U$10)&lt;7),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-1/24*50),""),""),IF(U45=0,"",U45))</f>
        <v/>
      </c>
      <c r="V60" s="263" t="str">
        <f ca="1">IF(EB.Wochenarbeitszeit=50/24,IF(T.50_Vetsuisse,IF(WEEKDAY(V$10,2)=7,MAX(0,SUM(OFFSET(V51,0,-MIN(6,DAY(V$10)-1),1,MIN(7,DAY(V$10))))+IF(AND(MONTH(Monat.Tag1)&lt;&gt;1,DAY(V$10)&lt;7),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-1/24*50),""),""),IF(V45=0,"",V45))</f>
        <v/>
      </c>
      <c r="W60" s="263" t="str">
        <f ca="1">IF(EB.Wochenarbeitszeit=50/24,IF(T.50_Vetsuisse,IF(WEEKDAY(W$10,2)=7,MAX(0,SUM(OFFSET(W51,0,-MIN(6,DAY(W$10)-1),1,MIN(7,DAY(W$10))))+IF(AND(MONTH(Monat.Tag1)&lt;&gt;1,DAY(W$10)&lt;7),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-1/24*50),""),""),IF(W45=0,"",W45))</f>
        <v/>
      </c>
      <c r="X60" s="264" t="str">
        <f ca="1">IF(EB.Wochenarbeitszeit=50/24,IF(T.50_Vetsuisse,IF(WEEKDAY(X$10,2)=7,MAX(0,SUM(OFFSET(X51,0,-MIN(6,DAY(X$10)-1),1,MIN(7,DAY(X$10))))+IF(AND(MONTH(Monat.Tag1)&lt;&gt;1,DAY(X$10)&lt;7),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-1/24*50),""),""),IF(X45=0,"",X45))</f>
        <v/>
      </c>
      <c r="Y60" s="263" t="str">
        <f ca="1">IF(EB.Wochenarbeitszeit=50/24,IF(T.50_Vetsuisse,IF(WEEKDAY(Y$10,2)=7,MAX(0,SUM(OFFSET(Y51,0,-MIN(6,DAY(Y$10)-1),1,MIN(7,DAY(Y$10))))+IF(AND(MONTH(Monat.Tag1)&lt;&gt;1,DAY(Y$10)&lt;7),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-1/24*50),""),""),IF(Y45=0,"",Y45))</f>
        <v/>
      </c>
      <c r="Z60" s="265" t="str">
        <f ca="1">IF(EB.Wochenarbeitszeit=50/24,IF(T.50_Vetsuisse,IF(WEEKDAY(Z$10,2)=7,MAX(0,SUM(OFFSET(Z51,0,-MIN(6,DAY(Z$10)-1),1,MIN(7,DAY(Z$10))))+IF(AND(MONTH(Monat.Tag1)&lt;&gt;1,DAY(Z$10)&lt;7),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-1/24*50),""),""),IF(Z45=0,"",Z45))</f>
        <v/>
      </c>
      <c r="AA60" s="263" t="str">
        <f ca="1">IF(EB.Wochenarbeitszeit=50/24,IF(T.50_Vetsuisse,IF(WEEKDAY(AA$10,2)=7,MAX(0,SUM(OFFSET(AA51,0,-MIN(6,DAY(AA$10)-1),1,MIN(7,DAY(AA$10))))+IF(AND(MONTH(Monat.Tag1)&lt;&gt;1,DAY(AA$10)&lt;7),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-1/24*50),""),""),IF(AA45=0,"",AA45))</f>
        <v/>
      </c>
      <c r="AB60" s="263" t="str">
        <f ca="1">IF(EB.Wochenarbeitszeit=50/24,IF(T.50_Vetsuisse,IF(WEEKDAY(AB$10,2)=7,MAX(0,SUM(OFFSET(AB51,0,-MIN(6,DAY(AB$10)-1),1,MIN(7,DAY(AB$10))))+IF(AND(MONTH(Monat.Tag1)&lt;&gt;1,DAY(AB$10)&lt;7),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-1/24*50),""),""),IF(AB45=0,"",AB45))</f>
        <v/>
      </c>
      <c r="AC60" s="263" t="str">
        <f ca="1">IF(EB.Wochenarbeitszeit=50/24,IF(T.50_Vetsuisse,IF(WEEKDAY(AC$10,2)=7,MAX(0,SUM(OFFSET(AC51,0,-MIN(6,DAY(AC$10)-1),1,MIN(7,DAY(AC$10))))+IF(AND(MONTH(Monat.Tag1)&lt;&gt;1,DAY(AC$10)&lt;7),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-1/24*50),""),""),IF(AC45=0,"",AC45))</f>
        <v/>
      </c>
      <c r="AD60" s="263" t="str">
        <f ca="1">IF(EB.Wochenarbeitszeit=50/24,IF(T.50_Vetsuisse,IF(WEEKDAY(AD$10,2)=7,MAX(0,SUM(OFFSET(AD51,0,-MIN(6,DAY(AD$10)-1),1,MIN(7,DAY(AD$10))))+IF(AND(MONTH(Monat.Tag1)&lt;&gt;1,DAY(AD$10)&lt;7),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-1/24*50),""),""),IF(AD45=0,"",AD45))</f>
        <v/>
      </c>
      <c r="AE60" s="264" t="str">
        <f ca="1">IF(EB.Wochenarbeitszeit=50/24,IF(T.50_Vetsuisse,IF(WEEKDAY(AE$10,2)=7,MAX(0,SUM(OFFSET(AE51,0,-MIN(6,DAY(AE$10)-1),1,MIN(7,DAY(AE$10))))+IF(AND(MONTH(Monat.Tag1)&lt;&gt;1,DAY(AE$10)&lt;7),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-1/24*50),""),""),IF(AE45=0,"",AE45))</f>
        <v/>
      </c>
      <c r="AF60" s="263" t="str">
        <f ca="1">IF(EB.Wochenarbeitszeit=50/24,IF(T.50_Vetsuisse,IF(WEEKDAY(AF$10,2)=7,MAX(0,SUM(OFFSET(AF51,0,-MIN(6,DAY(AF$10)-1),1,MIN(7,DAY(AF$10))))+IF(AND(MONTH(Monat.Tag1)&lt;&gt;1,DAY(AF$10)&lt;7),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-1/24*50),""),""),IF(AF45=0,"",AF45))</f>
        <v/>
      </c>
      <c r="AG60" s="205" t="str">
        <f>A60</f>
        <v>Ordered overtime</v>
      </c>
      <c r="AH60" s="218"/>
      <c r="AI60" s="238">
        <f ca="1">SUM(B60:AF60)</f>
        <v>0</v>
      </c>
      <c r="AJ60" s="214"/>
      <c r="AK60" s="209"/>
      <c r="AL60" s="245">
        <f ca="1">IF(EB.Anwendung&lt;&gt;"",IF(MONTH(Monat.Tag1)=1,0,IF(MONTH(Monat.Tag1)=2,January!Monat.AnUeZUeVM,IF(MONTH(Monat.Tag1)=3,February!Monat.AnUeZUeVM,IF(MONTH(Monat.Tag1)=4,March!Monat.AnUeZUeVM,IF(MONTH(Monat.Tag1)=5,April!Monat.AnUeZUeVM,IF(MONTH(Monat.Tag1)=6,May!Monat.AnUeZUeVM,IF(MONTH(Monat.Tag1)=7,June!Monat.AnUeZUeVM,IF(MONTH(Monat.Tag1)=8,July!Monat.AnUeZUeVM,IF(MONTH(Monat.Tag1)=9,August!Monat.AnUeZUeVM,IF(MONTH(Monat.Tag1)=10,September!Monat.AnUeZUeVM,IF(MONTH(Monat.Tag1)=11,October!Monat.AnUeZUeVM,IF(MONTH(Monat.Tag1)=12,November!Monat.AnUeZUeVM,"")))))))))))),"")</f>
        <v>0</v>
      </c>
      <c r="AM60" s="209"/>
      <c r="AN60" s="246">
        <f ca="1">AI60+AL60</f>
        <v>0</v>
      </c>
      <c r="AO60" s="246">
        <f ca="1">SUM(OFFSET(Jahr.AngÜZ,-12,0,MONTH(Monat.Tag1),1))</f>
        <v>0</v>
      </c>
      <c r="AP60" s="246">
        <f ca="1">Jahr.AngÜZ</f>
        <v>0</v>
      </c>
      <c r="AQ60" s="119"/>
    </row>
    <row r="61" spans="1:43" s="38" customFormat="1" ht="15" customHeight="1" x14ac:dyDescent="0.2">
      <c r="A61" s="212" t="s">
        <v>218</v>
      </c>
      <c r="B61" s="27"/>
      <c r="C61" s="27"/>
      <c r="D61" s="27"/>
      <c r="E61" s="27"/>
      <c r="F61" s="27"/>
      <c r="G61" s="27"/>
      <c r="H61" s="27"/>
      <c r="I61" s="27"/>
      <c r="J61" s="27"/>
      <c r="K61" s="27"/>
      <c r="L61" s="27"/>
      <c r="M61" s="27"/>
      <c r="N61" s="27"/>
      <c r="O61" s="27"/>
      <c r="P61" s="27"/>
      <c r="Q61" s="27"/>
      <c r="R61" s="27"/>
      <c r="S61" s="27"/>
      <c r="T61" s="27"/>
      <c r="U61" s="27"/>
      <c r="V61" s="27"/>
      <c r="W61" s="27"/>
      <c r="X61" s="27"/>
      <c r="Y61" s="27"/>
      <c r="Z61" s="39"/>
      <c r="AA61" s="27"/>
      <c r="AB61" s="27"/>
      <c r="AC61" s="27"/>
      <c r="AD61" s="27"/>
      <c r="AE61" s="27"/>
      <c r="AF61" s="27"/>
      <c r="AG61" s="205" t="str">
        <f>A61</f>
        <v>Compensation overtime</v>
      </c>
      <c r="AH61" s="218"/>
      <c r="AI61" s="238">
        <f>SUM(B61:AF61)</f>
        <v>0</v>
      </c>
      <c r="AJ61" s="214"/>
      <c r="AK61" s="209"/>
      <c r="AL61" s="209"/>
      <c r="AM61" s="209"/>
      <c r="AN61" s="208"/>
      <c r="AO61" s="209"/>
      <c r="AP61" s="209"/>
      <c r="AQ61" s="119"/>
    </row>
    <row r="62" spans="1:43" s="42" customFormat="1" ht="15" hidden="1" customHeight="1" outlineLevel="1" x14ac:dyDescent="0.2">
      <c r="A62" s="248"/>
      <c r="B62" s="253"/>
      <c r="C62" s="253"/>
      <c r="D62" s="253"/>
      <c r="E62" s="191"/>
      <c r="F62" s="253"/>
      <c r="G62" s="253"/>
      <c r="H62" s="253"/>
      <c r="I62" s="253"/>
      <c r="J62" s="251"/>
      <c r="K62" s="253"/>
      <c r="L62" s="252"/>
      <c r="M62" s="253"/>
      <c r="N62" s="253"/>
      <c r="O62" s="253"/>
      <c r="P62" s="253"/>
      <c r="Q62" s="191"/>
      <c r="R62" s="253"/>
      <c r="S62" s="252"/>
      <c r="T62" s="253"/>
      <c r="U62" s="253"/>
      <c r="V62" s="253"/>
      <c r="W62" s="253"/>
      <c r="X62" s="253"/>
      <c r="Y62" s="253"/>
      <c r="Z62" s="191"/>
      <c r="AA62" s="253"/>
      <c r="AB62" s="253"/>
      <c r="AC62" s="253"/>
      <c r="AD62" s="253"/>
      <c r="AE62" s="191"/>
      <c r="AF62" s="266"/>
      <c r="AG62" s="267" t="s">
        <v>118</v>
      </c>
      <c r="AH62" s="268"/>
      <c r="AI62" s="238">
        <f ca="1">Monat.AnUeZ.Total-Monat.KomUeZ.Total</f>
        <v>0</v>
      </c>
      <c r="AJ62" s="214"/>
      <c r="AK62" s="257"/>
      <c r="AL62" s="257"/>
      <c r="AM62" s="209"/>
      <c r="AN62" s="257"/>
      <c r="AO62" s="257"/>
      <c r="AP62" s="257"/>
      <c r="AQ62" s="163"/>
    </row>
    <row r="63" spans="1:43" s="38" customFormat="1" ht="15" customHeight="1" collapsed="1" x14ac:dyDescent="0.2">
      <c r="A63" s="220"/>
      <c r="B63" s="191"/>
      <c r="C63" s="191"/>
      <c r="D63" s="191"/>
      <c r="E63" s="191"/>
      <c r="F63" s="191"/>
      <c r="G63" s="191"/>
      <c r="H63" s="191"/>
      <c r="I63" s="191"/>
      <c r="J63" s="191"/>
      <c r="K63" s="191"/>
      <c r="L63" s="252"/>
      <c r="M63" s="191"/>
      <c r="N63" s="191"/>
      <c r="O63" s="191"/>
      <c r="P63" s="191"/>
      <c r="Q63" s="191"/>
      <c r="R63" s="191"/>
      <c r="S63" s="252"/>
      <c r="T63" s="191"/>
      <c r="U63" s="191"/>
      <c r="V63" s="191"/>
      <c r="W63" s="191"/>
      <c r="X63" s="253"/>
      <c r="Y63" s="191"/>
      <c r="Z63" s="191"/>
      <c r="AA63" s="191"/>
      <c r="AB63" s="191"/>
      <c r="AC63" s="191"/>
      <c r="AD63" s="191"/>
      <c r="AE63" s="191"/>
      <c r="AF63" s="269"/>
      <c r="AG63" s="212" t="s">
        <v>215</v>
      </c>
      <c r="AH63" s="218"/>
      <c r="AI63" s="238">
        <f ca="1">IF(T.50_Vetsuisse,0,IF(AND(AI62&gt;0,Monat.ÜZZSBerechtigt=INDEX(T.JaNein.Bereich,1,1)),ROUND(AI62*0.25*1440,0)/1440,0))</f>
        <v>0</v>
      </c>
      <c r="AJ63" s="214"/>
      <c r="AK63" s="209"/>
      <c r="AL63" s="257"/>
      <c r="AM63" s="209"/>
      <c r="AN63" s="257"/>
      <c r="AO63" s="257"/>
      <c r="AP63" s="257"/>
      <c r="AQ63" s="119"/>
    </row>
    <row r="64" spans="1:43" s="38" customFormat="1" ht="15" hidden="1" customHeight="1" outlineLevel="1" x14ac:dyDescent="0.2">
      <c r="A64" s="220"/>
      <c r="B64" s="191"/>
      <c r="C64" s="191"/>
      <c r="D64" s="191"/>
      <c r="E64" s="191"/>
      <c r="F64" s="191"/>
      <c r="G64" s="191"/>
      <c r="H64" s="191"/>
      <c r="I64" s="191"/>
      <c r="J64" s="191"/>
      <c r="K64" s="191"/>
      <c r="L64" s="252"/>
      <c r="M64" s="191"/>
      <c r="N64" s="191"/>
      <c r="O64" s="191"/>
      <c r="P64" s="191"/>
      <c r="Q64" s="191"/>
      <c r="R64" s="191"/>
      <c r="S64" s="252"/>
      <c r="T64" s="191"/>
      <c r="U64" s="191"/>
      <c r="V64" s="191"/>
      <c r="W64" s="191"/>
      <c r="X64" s="253"/>
      <c r="Y64" s="191"/>
      <c r="Z64" s="191"/>
      <c r="AA64" s="191"/>
      <c r="AB64" s="191"/>
      <c r="AC64" s="191"/>
      <c r="AD64" s="191"/>
      <c r="AE64" s="191"/>
      <c r="AF64" s="269"/>
      <c r="AG64" s="212" t="s">
        <v>119</v>
      </c>
      <c r="AH64" s="45" t="s">
        <v>2</v>
      </c>
      <c r="AI64" s="46"/>
      <c r="AJ64" s="270"/>
      <c r="AK64" s="209"/>
      <c r="AL64" s="257"/>
      <c r="AM64" s="209"/>
      <c r="AN64" s="257"/>
      <c r="AO64" s="257"/>
      <c r="AP64" s="257"/>
      <c r="AQ64" s="119"/>
    </row>
    <row r="65" spans="1:43" s="42" customFormat="1" ht="15" customHeight="1" collapsed="1" x14ac:dyDescent="0.2">
      <c r="A65" s="248"/>
      <c r="B65" s="253"/>
      <c r="C65" s="253"/>
      <c r="D65" s="253"/>
      <c r="E65" s="191"/>
      <c r="F65" s="253"/>
      <c r="G65" s="253"/>
      <c r="H65" s="253"/>
      <c r="I65" s="253"/>
      <c r="J65" s="191"/>
      <c r="K65" s="253"/>
      <c r="L65" s="252"/>
      <c r="M65" s="253"/>
      <c r="N65" s="253"/>
      <c r="O65" s="253"/>
      <c r="P65" s="253"/>
      <c r="Q65" s="191"/>
      <c r="R65" s="253"/>
      <c r="S65" s="252"/>
      <c r="T65" s="253"/>
      <c r="U65" s="253"/>
      <c r="V65" s="253"/>
      <c r="W65" s="253"/>
      <c r="X65" s="253"/>
      <c r="Y65" s="253"/>
      <c r="Z65" s="191"/>
      <c r="AA65" s="253"/>
      <c r="AB65" s="253"/>
      <c r="AC65" s="253"/>
      <c r="AD65" s="253"/>
      <c r="AE65" s="191"/>
      <c r="AF65" s="266"/>
      <c r="AG65" s="260" t="s">
        <v>219</v>
      </c>
      <c r="AH65" s="268"/>
      <c r="AI65" s="238">
        <f ca="1">IF(AH64="+",(AI62+AI63+AI64),(AI62+AI63-AI64))</f>
        <v>0</v>
      </c>
      <c r="AJ65" s="261"/>
      <c r="AK65" s="271"/>
      <c r="AL65" s="245">
        <f ca="1">IF(EB.Anwendung&lt;&gt;"",IF(MONTH(Monat.Tag1)=1,EB.UeZ,IF(MONTH(Monat.Tag1)=2,January!Monat.UeZUeVM,IF(MONTH(Monat.Tag1)=3,February!Monat.UeZUeVM,IF(MONTH(Monat.Tag1)=4,March!Monat.UeZUeVM,IF(MONTH(Monat.Tag1)=5,April!Monat.UeZUeVM,IF(MONTH(Monat.Tag1)=6,May!Monat.UeZUeVM,IF(MONTH(Monat.Tag1)=7,June!Monat.UeZUeVM,IF(MONTH(Monat.Tag1)=8,July!Monat.UeZUeVM,IF(MONTH(Monat.Tag1)=9,August!Monat.UeZUeVM,IF(MONTH(Monat.Tag1)=10,September!Monat.UeZUeVM,IF(MONTH(Monat.Tag1)=11,October!Monat.UeZUeVM,IF(MONTH(Monat.Tag1)=12,November!Monat.UeZUeVM,"")))))))))))),"")</f>
        <v>0</v>
      </c>
      <c r="AM65" s="209"/>
      <c r="AN65" s="246">
        <f ca="1">AI65+AL65</f>
        <v>0</v>
      </c>
      <c r="AO65" s="246">
        <f ca="1">SUM(OFFSET(J.UeZ.Total,-12,0,MONTH(Monat.Tag1),1))</f>
        <v>0</v>
      </c>
      <c r="AP65" s="246">
        <f ca="1">J.UeZ.Total</f>
        <v>0</v>
      </c>
      <c r="AQ65" s="163"/>
    </row>
    <row r="66" spans="1:43" s="38" customFormat="1" ht="11.25" customHeight="1" outlineLevel="1" x14ac:dyDescent="0.2">
      <c r="A66" s="220"/>
      <c r="B66" s="354">
        <f ca="1">IF(EB.Anwendung&lt;&gt;"",
IF(AND(B$10&gt;TODAY(),$W$7&gt;0,B52&lt;=0),0,
IF(AND(B$10&gt;TODAY(),$W$7&lt;=0,B53&lt;=0),0,
IF(B85&lt;=0,1,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f>
        <v>1</v>
      </c>
      <c r="C66" s="354">
        <f ca="1">IF(EB.Anwendung&lt;&gt;"",
IF(AND(C$10&gt;TODAY(),$W$7&gt;0,C52&lt;=0),0,
IF(AND(C$10&gt;TODAY(),$W$7&lt;=0,C53&lt;=0),0,
IF(C85&lt;=0,1,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f>
        <v>1</v>
      </c>
      <c r="D66" s="354">
        <f ca="1">IF(EB.Anwendung&lt;&gt;"",
IF(AND(D$10&gt;TODAY(),$W$7&gt;0,D52&lt;=0),0,
IF(AND(D$10&gt;TODAY(),$W$7&lt;=0,D53&lt;=0),0,
IF(D85&lt;=0,1,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f>
        <v>1</v>
      </c>
      <c r="E66" s="354">
        <f ca="1">IF(EB.Anwendung&lt;&gt;"",
IF(AND(E$10&gt;TODAY(),$W$7&gt;0,E52&lt;=0),0,
IF(AND(E$10&gt;TODAY(),$W$7&lt;=0,E53&lt;=0),0,
IF(E85&lt;=0,1,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f>
        <v>0</v>
      </c>
      <c r="F66" s="354">
        <f ca="1">IF(EB.Anwendung&lt;&gt;"",
IF(AND(F$10&gt;TODAY(),$W$7&gt;0,F52&lt;=0),0,
IF(AND(F$10&gt;TODAY(),$W$7&lt;=0,F53&lt;=0),0,
IF(F85&lt;=0,1,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f>
        <v>0</v>
      </c>
      <c r="G66" s="354">
        <f ca="1">IF(EB.Anwendung&lt;&gt;"",
IF(AND(G$10&gt;TODAY(),$W$7&gt;0,G52&lt;=0),0,
IF(AND(G$10&gt;TODAY(),$W$7&lt;=0,G53&lt;=0),0,
IF(G85&lt;=0,1,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f>
        <v>1</v>
      </c>
      <c r="H66" s="354">
        <f ca="1">IF(EB.Anwendung&lt;&gt;"",
IF(AND(H$10&gt;TODAY(),$W$7&gt;0,H52&lt;=0),0,
IF(AND(H$10&gt;TODAY(),$W$7&lt;=0,H53&lt;=0),0,
IF(H85&lt;=0,1,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f>
        <v>1</v>
      </c>
      <c r="I66" s="354">
        <f ca="1">IF(EB.Anwendung&lt;&gt;"",
IF(AND(I$10&gt;TODAY(),$W$7&gt;0,I52&lt;=0),0,
IF(AND(I$10&gt;TODAY(),$W$7&lt;=0,I53&lt;=0),0,
IF(I85&lt;=0,1,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f>
        <v>1</v>
      </c>
      <c r="J66" s="354">
        <f ca="1">IF(EB.Anwendung&lt;&gt;"",
IF(AND(J$10&gt;TODAY(),$W$7&gt;0,J52&lt;=0),0,
IF(AND(J$10&gt;TODAY(),$W$7&lt;=0,J53&lt;=0),0,
IF(J85&lt;=0,1,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f>
        <v>1</v>
      </c>
      <c r="K66" s="354">
        <f ca="1">IF(EB.Anwendung&lt;&gt;"",
IF(AND(K$10&gt;TODAY(),$W$7&gt;0,K52&lt;=0),0,
IF(AND(K$10&gt;TODAY(),$W$7&lt;=0,K53&lt;=0),0,
IF(K85&lt;=0,1,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f>
        <v>1</v>
      </c>
      <c r="L66" s="431">
        <f ca="1">IF(EB.Anwendung&lt;&gt;"",
IF(AND(L$10&gt;TODAY(),$W$7&gt;0,L52&lt;=0),0,
IF(AND(L$10&gt;TODAY(),$W$7&lt;=0,L53&lt;=0),0,
IF(L85&lt;=0,1,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f>
        <v>0</v>
      </c>
      <c r="M66" s="354">
        <f ca="1">IF(EB.Anwendung&lt;&gt;"",
IF(AND(M$10&gt;TODAY(),$W$7&gt;0,M52&lt;=0),0,
IF(AND(M$10&gt;TODAY(),$W$7&lt;=0,M53&lt;=0),0,
IF(M85&lt;=0,1,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f>
        <v>0</v>
      </c>
      <c r="N66" s="354">
        <f ca="1">IF(EB.Anwendung&lt;&gt;"",
IF(AND(N$10&gt;TODAY(),$W$7&gt;0,N52&lt;=0),0,
IF(AND(N$10&gt;TODAY(),$W$7&lt;=0,N53&lt;=0),0,
IF(N85&lt;=0,1,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f>
        <v>1</v>
      </c>
      <c r="O66" s="354">
        <f ca="1">IF(EB.Anwendung&lt;&gt;"",
IF(AND(O$10&gt;TODAY(),$W$7&gt;0,O52&lt;=0),0,
IF(AND(O$10&gt;TODAY(),$W$7&lt;=0,O53&lt;=0),0,
IF(O85&lt;=0,1,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f>
        <v>1</v>
      </c>
      <c r="P66" s="354">
        <f ca="1">IF(EB.Anwendung&lt;&gt;"",
IF(AND(P$10&gt;TODAY(),$W$7&gt;0,P52&lt;=0),0,
IF(AND(P$10&gt;TODAY(),$W$7&lt;=0,P53&lt;=0),0,
IF(P85&lt;=0,1,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f>
        <v>1</v>
      </c>
      <c r="Q66" s="354">
        <f ca="1">IF(EB.Anwendung&lt;&gt;"",
IF(AND(Q$10&gt;TODAY(),$W$7&gt;0,Q52&lt;=0),0,
IF(AND(Q$10&gt;TODAY(),$W$7&lt;=0,Q53&lt;=0),0,
IF(Q85&lt;=0,1,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f>
        <v>1</v>
      </c>
      <c r="R66" s="354">
        <f ca="1">IF(EB.Anwendung&lt;&gt;"",
IF(AND(R$10&gt;TODAY(),$W$7&gt;0,R52&lt;=0),0,
IF(AND(R$10&gt;TODAY(),$W$7&lt;=0,R53&lt;=0),0,
IF(R85&lt;=0,1,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f>
        <v>1</v>
      </c>
      <c r="S66" s="431">
        <f ca="1">IF(EB.Anwendung&lt;&gt;"",
IF(AND(S$10&gt;TODAY(),$W$7&gt;0,S52&lt;=0),0,
IF(AND(S$10&gt;TODAY(),$W$7&lt;=0,S53&lt;=0),0,
IF(S85&lt;=0,1,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f>
        <v>0</v>
      </c>
      <c r="T66" s="354">
        <f ca="1">IF(EB.Anwendung&lt;&gt;"",
IF(AND(T$10&gt;TODAY(),$W$7&gt;0,T52&lt;=0),0,
IF(AND(T$10&gt;TODAY(),$W$7&lt;=0,T53&lt;=0),0,
IF(T85&lt;=0,1,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f>
        <v>0</v>
      </c>
      <c r="U66" s="354">
        <f ca="1">IF(EB.Anwendung&lt;&gt;"",
IF(AND(U$10&gt;TODAY(),$W$7&gt;0,U52&lt;=0),0,
IF(AND(U$10&gt;TODAY(),$W$7&lt;=0,U53&lt;=0),0,
IF(U85&lt;=0,1,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f>
        <v>1</v>
      </c>
      <c r="V66" s="354">
        <f ca="1">IF(EB.Anwendung&lt;&gt;"",
IF(AND(V$10&gt;TODAY(),$W$7&gt;0,V52&lt;=0),0,
IF(AND(V$10&gt;TODAY(),$W$7&lt;=0,V53&lt;=0),0,
IF(V85&lt;=0,1,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f>
        <v>1</v>
      </c>
      <c r="W66" s="354">
        <f ca="1">IF(EB.Anwendung&lt;&gt;"",
IF(AND(W$10&gt;TODAY(),$W$7&gt;0,W52&lt;=0),0,
IF(AND(W$10&gt;TODAY(),$W$7&lt;=0,W53&lt;=0),0,
IF(W85&lt;=0,1,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f>
        <v>1</v>
      </c>
      <c r="X66" s="432">
        <f ca="1">IF(EB.Anwendung&lt;&gt;"",
IF(AND(X$10&gt;TODAY(),$W$7&gt;0,X52&lt;=0),0,
IF(AND(X$10&gt;TODAY(),$W$7&lt;=0,X53&lt;=0),0,
IF(X85&lt;=0,1,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f>
        <v>1</v>
      </c>
      <c r="Y66" s="354">
        <f ca="1">IF(EB.Anwendung&lt;&gt;"",
IF(AND(Y$10&gt;TODAY(),$W$7&gt;0,Y52&lt;=0),0,
IF(AND(Y$10&gt;TODAY(),$W$7&lt;=0,Y53&lt;=0),0,
IF(Y85&lt;=0,1,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f>
        <v>1</v>
      </c>
      <c r="Z66" s="354">
        <f ca="1">IF(EB.Anwendung&lt;&gt;"",
IF(AND(Z$10&gt;TODAY(),$W$7&gt;0,Z52&lt;=0),0,
IF(AND(Z$10&gt;TODAY(),$W$7&lt;=0,Z53&lt;=0),0,
IF(Z85&lt;=0,1,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f>
        <v>0</v>
      </c>
      <c r="AA66" s="354">
        <f ca="1">IF(EB.Anwendung&lt;&gt;"",
IF(AND(AA$10&gt;TODAY(),$W$7&gt;0,AA52&lt;=0),0,
IF(AND(AA$10&gt;TODAY(),$W$7&lt;=0,AA53&lt;=0),0,
IF(AA85&lt;=0,1,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f>
        <v>0</v>
      </c>
      <c r="AB66" s="354">
        <f ca="1">IF(EB.Anwendung&lt;&gt;"",
IF(AND(AB$10&gt;TODAY(),$W$7&gt;0,AB52&lt;=0),0,
IF(AND(AB$10&gt;TODAY(),$W$7&lt;=0,AB53&lt;=0),0,
IF(AB85&lt;=0,1,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f>
        <v>1</v>
      </c>
      <c r="AC66" s="354">
        <f ca="1">IF(EB.Anwendung&lt;&gt;"",
IF(AND(AC$10&gt;TODAY(),$W$7&gt;0,AC52&lt;=0),0,
IF(AND(AC$10&gt;TODAY(),$W$7&lt;=0,AC53&lt;=0),0,
IF(AC85&lt;=0,1,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f>
        <v>1</v>
      </c>
      <c r="AD66" s="354">
        <f ca="1">IF(EB.Anwendung&lt;&gt;"",
IF(AND(AD$10&gt;TODAY(),$W$7&gt;0,AD52&lt;=0),0,
IF(AND(AD$10&gt;TODAY(),$W$7&lt;=0,AD53&lt;=0),0,
IF(AD85&lt;=0,1,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f>
        <v>1</v>
      </c>
      <c r="AE66" s="354">
        <f ca="1">IF(EB.Anwendung&lt;&gt;"",
IF(AND(AE$10&gt;TODAY(),$W$7&gt;0,AE52&lt;=0),0,
IF(AND(AE$10&gt;TODAY(),$W$7&lt;=0,AE53&lt;=0),0,
IF(AE85&lt;=0,1,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f>
        <v>1</v>
      </c>
      <c r="AF66" s="433">
        <f ca="1">IF(EB.Anwendung&lt;&gt;"",
IF(AND(AF$10&gt;TODAY(),$W$7&gt;0,AF52&lt;=0),0,
IF(AND(AF$10&gt;TODAY(),$W$7&lt;=0,AF53&lt;=0),0,
IF(AF85&lt;=0,1,
IF(DAY(AF$10)=1,IF(MONTH(Monat.Tag1)=1,1,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E68)))),"")</f>
        <v>1</v>
      </c>
      <c r="AG66" s="212"/>
      <c r="AH66" s="188"/>
      <c r="AI66" s="213"/>
      <c r="AJ66" s="214"/>
      <c r="AK66" s="209"/>
      <c r="AL66" s="209"/>
      <c r="AM66" s="209"/>
      <c r="AN66" s="208"/>
      <c r="AO66" s="209"/>
      <c r="AP66" s="209"/>
      <c r="AQ66" s="119"/>
    </row>
    <row r="67" spans="1:43" s="38" customFormat="1" ht="15" customHeight="1" outlineLevel="1" x14ac:dyDescent="0.2">
      <c r="A67" s="212" t="s">
        <v>79</v>
      </c>
      <c r="B67" s="27"/>
      <c r="C67" s="27"/>
      <c r="D67" s="27"/>
      <c r="E67" s="27"/>
      <c r="F67" s="27"/>
      <c r="G67" s="27"/>
      <c r="H67" s="27"/>
      <c r="I67" s="27"/>
      <c r="J67" s="27"/>
      <c r="K67" s="27"/>
      <c r="L67" s="27"/>
      <c r="M67" s="27"/>
      <c r="N67" s="27"/>
      <c r="O67" s="27"/>
      <c r="P67" s="27"/>
      <c r="Q67" s="27"/>
      <c r="R67" s="27"/>
      <c r="S67" s="27"/>
      <c r="T67" s="27"/>
      <c r="U67" s="27"/>
      <c r="V67" s="27"/>
      <c r="W67" s="27"/>
      <c r="X67" s="27"/>
      <c r="Y67" s="27"/>
      <c r="Z67" s="39"/>
      <c r="AA67" s="27"/>
      <c r="AB67" s="27"/>
      <c r="AC67" s="27"/>
      <c r="AD67" s="27"/>
      <c r="AE67" s="27"/>
      <c r="AF67" s="27"/>
      <c r="AG67" s="205" t="str">
        <f ca="1">A67 &amp; IFERROR(IF(SUMPRODUCT((B66:AF66=0)*(B67:AF67&gt;0))&gt;0," (!)",""),"")</f>
        <v>Compensation working hours</v>
      </c>
      <c r="AH67" s="218"/>
      <c r="AI67" s="238">
        <f>SUM(B67:AF67)</f>
        <v>0</v>
      </c>
      <c r="AJ67" s="261"/>
      <c r="AK67" s="245">
        <f ca="1">OFFSET(EB.MKAStd.Knoten,MONTH(Monat.Tag1),0,1,1)</f>
        <v>0.4375</v>
      </c>
      <c r="AL67" s="272">
        <f ca="1">IF(EB.Anwendung&lt;&gt;"",IF(MONTH(Monat.Tag1)=1,0,IF(MONTH(Monat.Tag1)=2,January!Monat.KomUeVM,IF(MONTH(Monat.Tag1)=3,February!Monat.KomUeVM,IF(MONTH(Monat.Tag1)=4,March!Monat.KomUeVM,IF(MONTH(Monat.Tag1)=5,April!Monat.KomUeVM,IF(MONTH(Monat.Tag1)=6,May!Monat.KomUeVM,IF(MONTH(Monat.Tag1)=7,June!Monat.KomUeVM,IF(MONTH(Monat.Tag1)=8,July!Monat.KomUeVM,IF(MONTH(Monat.Tag1)=9,August!Monat.KomUeVM,IF(MONTH(Monat.Tag1)=10,September!Monat.KomUeVM,IF(MONTH(Monat.Tag1)=11,October!Monat.KomUeVM,IF(MONTH(Monat.Tag1)=12,November!Monat.KomUeVM,"")))))))))))),"")</f>
        <v>2.625</v>
      </c>
      <c r="AM67" s="209"/>
      <c r="AN67" s="246">
        <f ca="1">AK67+AL67-Monat.KomAZ.Total</f>
        <v>3.0625</v>
      </c>
      <c r="AO67" s="246">
        <f ca="1">Jahresabrechnung!P12-SUM(OFFSET(Jahresabrechnung!P15,0,0,MONTH(Monat.Tag1),1))</f>
        <v>5.25</v>
      </c>
      <c r="AP67" s="246">
        <f ca="1">Jahresabrechnung!P28</f>
        <v>5.25</v>
      </c>
      <c r="AQ67" s="119"/>
    </row>
    <row r="68" spans="1:43" s="38" customFormat="1" ht="11.25" customHeight="1" x14ac:dyDescent="0.2">
      <c r="A68" s="220"/>
      <c r="B68" s="434">
        <f ca="1">IF(EB.Anwendung&lt;&gt;"",
IF(B67&gt;0,0,
IF(SUM(B23,B45)&gt;0,1,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
)),"")</f>
        <v>1</v>
      </c>
      <c r="C68" s="434">
        <f ca="1">IF(EB.Anwendung&lt;&gt;"",
IF(C67&gt;0,0,
IF(SUM(C23,C45)&gt;0,1,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
)),"")</f>
        <v>1</v>
      </c>
      <c r="D68" s="434">
        <f ca="1">IF(EB.Anwendung&lt;&gt;"",
IF(D67&gt;0,0,
IF(SUM(D23,D45)&gt;0,1,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
)),"")</f>
        <v>1</v>
      </c>
      <c r="E68" s="434">
        <f ca="1">IF(EB.Anwendung&lt;&gt;"",
IF(E67&gt;0,0,
IF(SUM(E23,E45)&gt;0,1,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
)),"")</f>
        <v>1</v>
      </c>
      <c r="F68" s="434">
        <f ca="1">IF(EB.Anwendung&lt;&gt;"",
IF(F67&gt;0,0,
IF(SUM(F23,F45)&gt;0,1,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
)),"")</f>
        <v>1</v>
      </c>
      <c r="G68" s="434">
        <f ca="1">IF(EB.Anwendung&lt;&gt;"",
IF(G67&gt;0,0,
IF(SUM(G23,G45)&gt;0,1,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
)),"")</f>
        <v>1</v>
      </c>
      <c r="H68" s="434">
        <f ca="1">IF(EB.Anwendung&lt;&gt;"",
IF(H67&gt;0,0,
IF(SUM(H23,H45)&gt;0,1,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
)),"")</f>
        <v>1</v>
      </c>
      <c r="I68" s="434">
        <f ca="1">IF(EB.Anwendung&lt;&gt;"",
IF(I67&gt;0,0,
IF(SUM(I23,I45)&gt;0,1,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
)),"")</f>
        <v>1</v>
      </c>
      <c r="J68" s="434">
        <f ca="1">IF(EB.Anwendung&lt;&gt;"",
IF(J67&gt;0,0,
IF(SUM(J23,J45)&gt;0,1,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
)),"")</f>
        <v>1</v>
      </c>
      <c r="K68" s="434">
        <f ca="1">IF(EB.Anwendung&lt;&gt;"",
IF(K67&gt;0,0,
IF(SUM(K23,K45)&gt;0,1,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
)),"")</f>
        <v>1</v>
      </c>
      <c r="L68" s="434">
        <f ca="1">IF(EB.Anwendung&lt;&gt;"",
IF(L67&gt;0,0,
IF(SUM(L23,L45)&gt;0,1,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
)),"")</f>
        <v>1</v>
      </c>
      <c r="M68" s="434">
        <f ca="1">IF(EB.Anwendung&lt;&gt;"",
IF(M67&gt;0,0,
IF(SUM(M23,M45)&gt;0,1,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
)),"")</f>
        <v>1</v>
      </c>
      <c r="N68" s="434">
        <f ca="1">IF(EB.Anwendung&lt;&gt;"",
IF(N67&gt;0,0,
IF(SUM(N23,N45)&gt;0,1,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
)),"")</f>
        <v>1</v>
      </c>
      <c r="O68" s="434">
        <f ca="1">IF(EB.Anwendung&lt;&gt;"",
IF(O67&gt;0,0,
IF(SUM(O23,O45)&gt;0,1,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
)),"")</f>
        <v>1</v>
      </c>
      <c r="P68" s="434">
        <f ca="1">IF(EB.Anwendung&lt;&gt;"",
IF(P67&gt;0,0,
IF(SUM(P23,P45)&gt;0,1,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
)),"")</f>
        <v>1</v>
      </c>
      <c r="Q68" s="434">
        <f ca="1">IF(EB.Anwendung&lt;&gt;"",
IF(Q67&gt;0,0,
IF(SUM(Q23,Q45)&gt;0,1,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
)),"")</f>
        <v>1</v>
      </c>
      <c r="R68" s="434">
        <f ca="1">IF(EB.Anwendung&lt;&gt;"",
IF(R67&gt;0,0,
IF(SUM(R23,R45)&gt;0,1,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
)),"")</f>
        <v>1</v>
      </c>
      <c r="S68" s="434">
        <f ca="1">IF(EB.Anwendung&lt;&gt;"",
IF(S67&gt;0,0,
IF(SUM(S23,S45)&gt;0,1,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
)),"")</f>
        <v>1</v>
      </c>
      <c r="T68" s="434">
        <f ca="1">IF(EB.Anwendung&lt;&gt;"",
IF(T67&gt;0,0,
IF(SUM(T23,T45)&gt;0,1,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
)),"")</f>
        <v>1</v>
      </c>
      <c r="U68" s="434">
        <f ca="1">IF(EB.Anwendung&lt;&gt;"",
IF(U67&gt;0,0,
IF(SUM(U23,U45)&gt;0,1,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
)),"")</f>
        <v>1</v>
      </c>
      <c r="V68" s="434">
        <f ca="1">IF(EB.Anwendung&lt;&gt;"",
IF(V67&gt;0,0,
IF(SUM(V23,V45)&gt;0,1,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
)),"")</f>
        <v>1</v>
      </c>
      <c r="W68" s="434">
        <f ca="1">IF(EB.Anwendung&lt;&gt;"",
IF(W67&gt;0,0,
IF(SUM(W23,W45)&gt;0,1,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
)),"")</f>
        <v>1</v>
      </c>
      <c r="X68" s="434">
        <f ca="1">IF(EB.Anwendung&lt;&gt;"",
IF(X67&gt;0,0,
IF(SUM(X23,X45)&gt;0,1,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
)),"")</f>
        <v>1</v>
      </c>
      <c r="Y68" s="434">
        <f ca="1">IF(EB.Anwendung&lt;&gt;"",
IF(Y67&gt;0,0,
IF(SUM(Y23,Y45)&gt;0,1,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
)),"")</f>
        <v>1</v>
      </c>
      <c r="Z68" s="434">
        <f ca="1">IF(EB.Anwendung&lt;&gt;"",
IF(Z67&gt;0,0,
IF(SUM(Z23,Z45)&gt;0,1,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
)),"")</f>
        <v>1</v>
      </c>
      <c r="AA68" s="434">
        <f ca="1">IF(EB.Anwendung&lt;&gt;"",
IF(AA67&gt;0,0,
IF(SUM(AA23,AA45)&gt;0,1,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
)),"")</f>
        <v>1</v>
      </c>
      <c r="AB68" s="434">
        <f ca="1">IF(EB.Anwendung&lt;&gt;"",
IF(AB67&gt;0,0,
IF(SUM(AB23,AB45)&gt;0,1,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
)),"")</f>
        <v>1</v>
      </c>
      <c r="AC68" s="434">
        <f ca="1">IF(EB.Anwendung&lt;&gt;"",
IF(AC67&gt;0,0,
IF(SUM(AC23,AC45)&gt;0,1,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
)),"")</f>
        <v>1</v>
      </c>
      <c r="AD68" s="434">
        <f ca="1">IF(EB.Anwendung&lt;&gt;"",
IF(AD67&gt;0,0,
IF(SUM(AD23,AD45)&gt;0,1,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
)),"")</f>
        <v>1</v>
      </c>
      <c r="AE68" s="434">
        <f ca="1">IF(EB.Anwendung&lt;&gt;"",
IF(AE67&gt;0,0,
IF(SUM(AE23,AE45)&gt;0,1,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
)),"")</f>
        <v>1</v>
      </c>
      <c r="AF68" s="435">
        <f ca="1">IF(EB.Anwendung&lt;&gt;"",
IF(AF67&gt;0,0,
IF(SUM(AF23,AF45)&gt;0,1,
IF(DAY(AF$10)=1,IF(MONTH(Monat.Tag1)=1,1,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E68)
)),"")</f>
        <v>1</v>
      </c>
      <c r="AG68" s="205"/>
      <c r="AH68" s="188"/>
      <c r="AI68" s="213"/>
      <c r="AJ68" s="214"/>
      <c r="AK68" s="209"/>
      <c r="AL68" s="209"/>
      <c r="AM68" s="209"/>
      <c r="AN68" s="436">
        <f ca="1">IF(OFFSET(A68,0,DAY(EOMONTH(Monat.Tag1,0)))=0,0,1)</f>
        <v>1</v>
      </c>
      <c r="AO68" s="209"/>
      <c r="AP68" s="209"/>
      <c r="AQ68" s="119"/>
    </row>
    <row r="69" spans="1:43" s="38" customFormat="1" ht="15" hidden="1" customHeight="1" x14ac:dyDescent="0.2">
      <c r="A69" s="212" t="s">
        <v>220</v>
      </c>
      <c r="B69" s="273">
        <f t="shared" ref="B69:AF69" ca="1" si="18">IF(AND(T.50_Vetsuisse,B72=INDEX(T.JaNein.Bereich,1,1),B73&gt;0,MOD(IFERROR(MATCH(1,B13:B22,0),1),2)=0),1,
IF(AND(T.ServiceCenterIrchel,B72=INDEX(T.JaNein.Bereich,1,1),B77&gt;0),1,
IF(AND(T.50_Vetsuisse=FALSE,T.ServiceCenterIrchel=FALSE,B77&gt;0),1,0)))</f>
        <v>0</v>
      </c>
      <c r="C69" s="273">
        <f t="shared" ca="1" si="18"/>
        <v>0</v>
      </c>
      <c r="D69" s="273">
        <f t="shared" ca="1" si="18"/>
        <v>0</v>
      </c>
      <c r="E69" s="273">
        <f t="shared" ca="1" si="18"/>
        <v>0</v>
      </c>
      <c r="F69" s="273">
        <f t="shared" ca="1" si="18"/>
        <v>0</v>
      </c>
      <c r="G69" s="273">
        <f t="shared" ca="1" si="18"/>
        <v>0</v>
      </c>
      <c r="H69" s="273">
        <f t="shared" ca="1" si="18"/>
        <v>0</v>
      </c>
      <c r="I69" s="273">
        <f t="shared" ca="1" si="18"/>
        <v>0</v>
      </c>
      <c r="J69" s="273">
        <f t="shared" ca="1" si="18"/>
        <v>0</v>
      </c>
      <c r="K69" s="273">
        <f t="shared" ca="1" si="18"/>
        <v>0</v>
      </c>
      <c r="L69" s="273">
        <f t="shared" ca="1" si="18"/>
        <v>0</v>
      </c>
      <c r="M69" s="273">
        <f t="shared" ca="1" si="18"/>
        <v>0</v>
      </c>
      <c r="N69" s="273">
        <f t="shared" ca="1" si="18"/>
        <v>0</v>
      </c>
      <c r="O69" s="273">
        <f t="shared" ca="1" si="18"/>
        <v>0</v>
      </c>
      <c r="P69" s="273">
        <f t="shared" ca="1" si="18"/>
        <v>0</v>
      </c>
      <c r="Q69" s="273">
        <f t="shared" ca="1" si="18"/>
        <v>0</v>
      </c>
      <c r="R69" s="273">
        <f t="shared" ca="1" si="18"/>
        <v>0</v>
      </c>
      <c r="S69" s="273">
        <f t="shared" ca="1" si="18"/>
        <v>0</v>
      </c>
      <c r="T69" s="273">
        <f t="shared" ca="1" si="18"/>
        <v>0</v>
      </c>
      <c r="U69" s="273">
        <f t="shared" ca="1" si="18"/>
        <v>0</v>
      </c>
      <c r="V69" s="273">
        <f t="shared" ca="1" si="18"/>
        <v>0</v>
      </c>
      <c r="W69" s="273">
        <f t="shared" ca="1" si="18"/>
        <v>0</v>
      </c>
      <c r="X69" s="273">
        <f t="shared" ca="1" si="18"/>
        <v>0</v>
      </c>
      <c r="Y69" s="273">
        <f t="shared" ca="1" si="18"/>
        <v>0</v>
      </c>
      <c r="Z69" s="273">
        <f t="shared" ca="1" si="18"/>
        <v>0</v>
      </c>
      <c r="AA69" s="273">
        <f t="shared" ca="1" si="18"/>
        <v>0</v>
      </c>
      <c r="AB69" s="273">
        <f t="shared" ca="1" si="18"/>
        <v>0</v>
      </c>
      <c r="AC69" s="273">
        <f t="shared" ca="1" si="18"/>
        <v>0</v>
      </c>
      <c r="AD69" s="273">
        <f t="shared" ca="1" si="18"/>
        <v>0</v>
      </c>
      <c r="AE69" s="273">
        <f t="shared" ca="1" si="18"/>
        <v>0</v>
      </c>
      <c r="AF69" s="273">
        <f t="shared" ca="1" si="18"/>
        <v>0</v>
      </c>
      <c r="AG69" s="205" t="str">
        <f>A69</f>
        <v>Counter night shift</v>
      </c>
      <c r="AH69" s="274"/>
      <c r="AI69" s="275">
        <f ca="1">SUM(B69:AF69)</f>
        <v>0</v>
      </c>
      <c r="AJ69" s="261"/>
      <c r="AK69" s="224"/>
      <c r="AL69" s="276">
        <f ca="1">IF(EB.Anwendung&lt;&gt;"",IF(MONTH(Monat.Tag1)=1,0,IF(MONTH(Monat.Tag1)=2,January!Monat.ZählerNDUe,IF(MONTH(Monat.Tag1)=3,February!Monat.ZählerNDUe,IF(MONTH(Monat.Tag1)=4,March!Monat.ZählerNDUe,IF(MONTH(Monat.Tag1)=5,April!Monat.ZählerNDUe,IF(MONTH(Monat.Tag1)=6,May!Monat.ZählerNDUe,IF(MONTH(Monat.Tag1)=7,June!Monat.ZählerNDUe,IF(MONTH(Monat.Tag1)=8,July!Monat.ZählerNDUe,IF(MONTH(Monat.Tag1)=9,August!Monat.ZählerNDUe,IF(MONTH(Monat.Tag1)=10,September!Monat.ZählerNDUe,IF(MONTH(Monat.Tag1)=11,October!Monat.ZählerNDUe,IF(MONTH(Monat.Tag1)=12,November!Monat.ZählerNDUe,"")))))))))))),"")</f>
        <v>0</v>
      </c>
      <c r="AM69" s="209"/>
      <c r="AN69" s="277">
        <f ca="1">AL69+AI69</f>
        <v>0</v>
      </c>
      <c r="AO69" s="208"/>
      <c r="AP69" s="208"/>
      <c r="AQ69" s="119"/>
    </row>
    <row r="70" spans="1:43" s="38" customFormat="1" ht="15" hidden="1" customHeight="1" x14ac:dyDescent="0.2">
      <c r="A70" s="212" t="s">
        <v>221</v>
      </c>
      <c r="B70" s="273">
        <f t="shared" ref="B70:AF70" ca="1" si="19">IF(DAY(B$10)=1,$AL$69,A70)+B69</f>
        <v>0</v>
      </c>
      <c r="C70" s="273">
        <f t="shared" ca="1" si="19"/>
        <v>0</v>
      </c>
      <c r="D70" s="273">
        <f t="shared" ca="1" si="19"/>
        <v>0</v>
      </c>
      <c r="E70" s="273">
        <f t="shared" ca="1" si="19"/>
        <v>0</v>
      </c>
      <c r="F70" s="273">
        <f t="shared" ca="1" si="19"/>
        <v>0</v>
      </c>
      <c r="G70" s="273">
        <f t="shared" ca="1" si="19"/>
        <v>0</v>
      </c>
      <c r="H70" s="273">
        <f t="shared" ca="1" si="19"/>
        <v>0</v>
      </c>
      <c r="I70" s="273">
        <f t="shared" ca="1" si="19"/>
        <v>0</v>
      </c>
      <c r="J70" s="273">
        <f t="shared" ca="1" si="19"/>
        <v>0</v>
      </c>
      <c r="K70" s="273">
        <f t="shared" ca="1" si="19"/>
        <v>0</v>
      </c>
      <c r="L70" s="273">
        <f t="shared" ca="1" si="19"/>
        <v>0</v>
      </c>
      <c r="M70" s="273">
        <f t="shared" ca="1" si="19"/>
        <v>0</v>
      </c>
      <c r="N70" s="273">
        <f t="shared" ca="1" si="19"/>
        <v>0</v>
      </c>
      <c r="O70" s="273">
        <f t="shared" ca="1" si="19"/>
        <v>0</v>
      </c>
      <c r="P70" s="273">
        <f t="shared" ca="1" si="19"/>
        <v>0</v>
      </c>
      <c r="Q70" s="273">
        <f t="shared" ca="1" si="19"/>
        <v>0</v>
      </c>
      <c r="R70" s="273">
        <f t="shared" ca="1" si="19"/>
        <v>0</v>
      </c>
      <c r="S70" s="273">
        <f t="shared" ca="1" si="19"/>
        <v>0</v>
      </c>
      <c r="T70" s="273">
        <f t="shared" ca="1" si="19"/>
        <v>0</v>
      </c>
      <c r="U70" s="273">
        <f t="shared" ca="1" si="19"/>
        <v>0</v>
      </c>
      <c r="V70" s="273">
        <f t="shared" ca="1" si="19"/>
        <v>0</v>
      </c>
      <c r="W70" s="273">
        <f t="shared" ca="1" si="19"/>
        <v>0</v>
      </c>
      <c r="X70" s="273">
        <f t="shared" ca="1" si="19"/>
        <v>0</v>
      </c>
      <c r="Y70" s="273">
        <f t="shared" ca="1" si="19"/>
        <v>0</v>
      </c>
      <c r="Z70" s="273">
        <f t="shared" ca="1" si="19"/>
        <v>0</v>
      </c>
      <c r="AA70" s="273">
        <f t="shared" ca="1" si="19"/>
        <v>0</v>
      </c>
      <c r="AB70" s="273">
        <f t="shared" ca="1" si="19"/>
        <v>0</v>
      </c>
      <c r="AC70" s="273">
        <f t="shared" ca="1" si="19"/>
        <v>0</v>
      </c>
      <c r="AD70" s="273">
        <f t="shared" ca="1" si="19"/>
        <v>0</v>
      </c>
      <c r="AE70" s="273">
        <f t="shared" ca="1" si="19"/>
        <v>0</v>
      </c>
      <c r="AF70" s="273">
        <f t="shared" ca="1" si="19"/>
        <v>0</v>
      </c>
      <c r="AG70" s="205" t="str">
        <f t="shared" ref="AG70:AG82" si="20">A70</f>
        <v>Balance counter night shift</v>
      </c>
      <c r="AH70" s="228"/>
      <c r="AI70" s="224"/>
      <c r="AJ70" s="278"/>
      <c r="AK70" s="262"/>
      <c r="AL70" s="262"/>
      <c r="AM70" s="209"/>
      <c r="AN70" s="279"/>
      <c r="AO70" s="208"/>
      <c r="AP70" s="208"/>
      <c r="AQ70" s="119"/>
    </row>
    <row r="71" spans="1:43" s="38" customFormat="1" ht="15" hidden="1" customHeight="1" outlineLevel="1" x14ac:dyDescent="0.2">
      <c r="A71" s="212" t="s">
        <v>222</v>
      </c>
      <c r="B71" s="40"/>
      <c r="C71" s="40"/>
      <c r="D71" s="40"/>
      <c r="E71" s="27"/>
      <c r="F71" s="40"/>
      <c r="G71" s="40"/>
      <c r="H71" s="40"/>
      <c r="I71" s="40"/>
      <c r="J71" s="27"/>
      <c r="K71" s="40"/>
      <c r="L71" s="27"/>
      <c r="M71" s="40"/>
      <c r="N71" s="40"/>
      <c r="O71" s="40"/>
      <c r="P71" s="40"/>
      <c r="Q71" s="27"/>
      <c r="R71" s="40"/>
      <c r="S71" s="27"/>
      <c r="T71" s="27"/>
      <c r="U71" s="40"/>
      <c r="V71" s="40"/>
      <c r="W71" s="40"/>
      <c r="X71" s="27"/>
      <c r="Y71" s="40"/>
      <c r="Z71" s="39"/>
      <c r="AA71" s="40"/>
      <c r="AB71" s="40"/>
      <c r="AC71" s="40"/>
      <c r="AD71" s="40"/>
      <c r="AE71" s="27"/>
      <c r="AF71" s="40"/>
      <c r="AG71" s="205" t="str">
        <f t="shared" si="20"/>
        <v>Compensation TS night shift</v>
      </c>
      <c r="AH71" s="218"/>
      <c r="AI71" s="238">
        <f t="shared" ref="AI71" si="21">SUM(B71:AF71)</f>
        <v>0</v>
      </c>
      <c r="AJ71" s="261"/>
      <c r="AK71" s="262"/>
      <c r="AL71" s="245">
        <f ca="1">IF(EB.Anwendung&lt;&gt;"",IF(MONTH(Monat.Tag1)=1,0,IF(MONTH(Monat.Tag1)=2,January!Monat.KompZZSNDUeVM,IF(MONTH(Monat.Tag1)=3,February!Monat.KompZZSNDUeVM,IF(MONTH(Monat.Tag1)=4,March!Monat.KompZZSNDUeVM,IF(MONTH(Monat.Tag1)=5,April!Monat.KompZZSNDUeVM,IF(MONTH(Monat.Tag1)=6,May!Monat.KompZZSNDUeVM,IF(MONTH(Monat.Tag1)=7,June!Monat.KompZZSNDUeVM,IF(MONTH(Monat.Tag1)=8,July!Monat.KompZZSNDUeVM,IF(MONTH(Monat.Tag1)=9,August!Monat.KompZZSNDUeVM,IF(MONTH(Monat.Tag1)=10,September!Monat.KompZZSNDUeVM,IF(MONTH(Monat.Tag1)=11,October!Monat.KompZZSNDUeVM,IF(MONTH(Monat.Tag1)=12,November!Monat.KompZZSNDUeVM,"")))))))))))),"")</f>
        <v>0</v>
      </c>
      <c r="AM71" s="209"/>
      <c r="AN71" s="246">
        <f ca="1">AI71+AL71</f>
        <v>0</v>
      </c>
      <c r="AO71" s="246">
        <f ca="1">SUM(OFFSET(Jahr.KompZZSND,-12,0,MONTH(Monat.Tag1),1))</f>
        <v>0</v>
      </c>
      <c r="AP71" s="246">
        <f ca="1">Jahr.KompZZSND</f>
        <v>0</v>
      </c>
      <c r="AQ71" s="119"/>
    </row>
    <row r="72" spans="1:43" s="38" customFormat="1" ht="15" hidden="1" customHeight="1" outlineLevel="1" x14ac:dyDescent="0.2">
      <c r="A72" s="212" t="s">
        <v>223</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205" t="str">
        <f t="shared" si="20"/>
        <v>Start pl. night shift Yes/No</v>
      </c>
      <c r="AH72" s="218"/>
      <c r="AI72" s="224"/>
      <c r="AJ72" s="229">
        <f ca="1">IFERROR(SUMPRODUCT((B72:AF72=INDEX(T.JaNein.Bereich,1))*(B72:AF72&lt;&gt;"")),0)</f>
        <v>0</v>
      </c>
      <c r="AK72" s="262"/>
      <c r="AL72" s="229">
        <f ca="1">AL69</f>
        <v>0</v>
      </c>
      <c r="AM72" s="209"/>
      <c r="AN72" s="277">
        <f ca="1">AN69</f>
        <v>0</v>
      </c>
      <c r="AO72" s="209"/>
      <c r="AP72" s="209"/>
      <c r="AQ72" s="119"/>
    </row>
    <row r="73" spans="1:43" s="38" customFormat="1" ht="15" customHeight="1" outlineLevel="1" x14ac:dyDescent="0.2">
      <c r="A73" s="212" t="s">
        <v>88</v>
      </c>
      <c r="B73" s="280">
        <f t="shared" ref="B73:AF73" ca="1" si="22">IF(B$12=0,0,IF(OR(T.50_Vetsuisse,T.ServiceCenterIrchel),ROUND((B14-B13+MAX(0,T.Nachtab-MAX(T.Nachtbis,B14))-MAX(0,T.Nachtab-MAX(B13,T.Nachtbis))+(B13&gt;B14)*(1+T.Nachtbis-T.Nachtab)+B16-B15+MAX(0,T.Nachtab-MAX(T.Nachtbis,B16))-MAX(0,T.Nachtab-MAX(B15,T.Nachtbis))+(B15&gt;B16)*(1+T.Nachtbis-T.Nachtab)+B18-B17+MAX(0,T.Nachtab-MAX(T.Nachtbis,B18))-MAX(0,T.Nachtab-MAX(B17,T.Nachtbis))+(B17&gt;B18)*(1+T.Nachtbis-T.Nachtab)+B20-B19+MAX(0,T.Nachtab-MAX(T.Nachtbis,B20))-MAX(0,T.Nachtab-MAX(B19,T.Nachtbis))+(B19&gt;B20)*(1+T.Nachtbis-T.Nachtab)+B22-B21+MAX(0,T.Nachtab-MAX(T.Nachtbis,B22))-MAX(0,T.Nachtab-MAX(B21,T.Nachtbis))+(B21&gt;B22)*(1+T.Nachtbis-T.Nachtab))*1440,0)/1440,
IF(AND(WEEKDAY(B$10,2)&lt;6,B$11&lt;&gt;0),ROUND((B36-B35+MAX(0,T.Nachtab-MAX(T.Nachtbis,B36))-MAX(0,T.Nachtab-MAX(B35,T.Nachtbis))+(B35&gt;B36)*(1+T.Nachtbis-T.Nachtab)+B38-B37+MAX(0,T.Nachtab-MAX(T.Nachtbis,B38))-MAX(0,T.Nachtab-MAX(B37,T.Nachtbis))+(B37&gt;B38)*(1+T.Nachtbis-T.Nachtab)+B40-B39+MAX(0,T.Nachtab-MAX(T.Nachtbis,B40))-MAX(0,T.Nachtab-MAX(B39,T.Nachtbis))+(B39&gt;B40)*(1+T.Nachtbis-T.Nachtab)+B42-B41+MAX(0,T.Nachtab-MAX(T.Nachtbis,B42))-MAX(0,T.Nachtab-MAX(B41,T.Nachtbis))+(B41&gt;B42)*(1+T.Nachtbis-T.Nachtab)+B44-B43+MAX(0,T.Nachtab-MAX(T.Nachtbis,B44))-MAX(0,T.Nachtab-MAX(B43,T.Nachtbis))+(B43&gt;B44)*(1+T.Nachtbis-T.Nachtab))*1440,0)/1440,0)))</f>
        <v>0</v>
      </c>
      <c r="C73" s="280">
        <f t="shared" ca="1" si="22"/>
        <v>0</v>
      </c>
      <c r="D73" s="280">
        <f t="shared" ca="1" si="22"/>
        <v>0</v>
      </c>
      <c r="E73" s="280">
        <f t="shared" ca="1" si="22"/>
        <v>0</v>
      </c>
      <c r="F73" s="280">
        <f t="shared" ca="1" si="22"/>
        <v>0</v>
      </c>
      <c r="G73" s="280">
        <f t="shared" ca="1" si="22"/>
        <v>0</v>
      </c>
      <c r="H73" s="280">
        <f t="shared" ca="1" si="22"/>
        <v>0</v>
      </c>
      <c r="I73" s="280">
        <f t="shared" ca="1" si="22"/>
        <v>0</v>
      </c>
      <c r="J73" s="280">
        <f t="shared" ca="1" si="22"/>
        <v>0</v>
      </c>
      <c r="K73" s="280">
        <f t="shared" ca="1" si="22"/>
        <v>0</v>
      </c>
      <c r="L73" s="280">
        <f t="shared" ca="1" si="22"/>
        <v>0</v>
      </c>
      <c r="M73" s="280">
        <f t="shared" ca="1" si="22"/>
        <v>0</v>
      </c>
      <c r="N73" s="280">
        <f t="shared" ca="1" si="22"/>
        <v>0</v>
      </c>
      <c r="O73" s="280">
        <f t="shared" ca="1" si="22"/>
        <v>0</v>
      </c>
      <c r="P73" s="280">
        <f t="shared" ca="1" si="22"/>
        <v>0</v>
      </c>
      <c r="Q73" s="280">
        <f t="shared" ca="1" si="22"/>
        <v>0</v>
      </c>
      <c r="R73" s="280">
        <f t="shared" ca="1" si="22"/>
        <v>0</v>
      </c>
      <c r="S73" s="280">
        <f t="shared" ca="1" si="22"/>
        <v>0</v>
      </c>
      <c r="T73" s="280">
        <f t="shared" ca="1" si="22"/>
        <v>0</v>
      </c>
      <c r="U73" s="280">
        <f t="shared" ca="1" si="22"/>
        <v>0</v>
      </c>
      <c r="V73" s="280">
        <f t="shared" ca="1" si="22"/>
        <v>0</v>
      </c>
      <c r="W73" s="280">
        <f t="shared" ca="1" si="22"/>
        <v>0</v>
      </c>
      <c r="X73" s="280">
        <f t="shared" ca="1" si="22"/>
        <v>0</v>
      </c>
      <c r="Y73" s="280">
        <f t="shared" ca="1" si="22"/>
        <v>0</v>
      </c>
      <c r="Z73" s="280">
        <f t="shared" ca="1" si="22"/>
        <v>0</v>
      </c>
      <c r="AA73" s="280">
        <f t="shared" ca="1" si="22"/>
        <v>0</v>
      </c>
      <c r="AB73" s="280">
        <f t="shared" ca="1" si="22"/>
        <v>0</v>
      </c>
      <c r="AC73" s="280">
        <f t="shared" ca="1" si="22"/>
        <v>0</v>
      </c>
      <c r="AD73" s="280">
        <f t="shared" ca="1" si="22"/>
        <v>0</v>
      </c>
      <c r="AE73" s="280">
        <f t="shared" ca="1" si="22"/>
        <v>0</v>
      </c>
      <c r="AF73" s="280">
        <f t="shared" ca="1" si="22"/>
        <v>0</v>
      </c>
      <c r="AG73" s="205" t="str">
        <f t="shared" si="20"/>
        <v>Night shift</v>
      </c>
      <c r="AH73" s="228"/>
      <c r="AI73" s="238">
        <f ca="1">SUM(B73:AF73)</f>
        <v>0</v>
      </c>
      <c r="AJ73" s="229">
        <f ca="1">IF(OR(T.50_Vetsuisse,T.ServiceCenterIrchel),AI69,
IFERROR(SUMPRODUCT((B77:AF77&gt;0)*(B77:AF77&lt;&gt;"")),0))</f>
        <v>0</v>
      </c>
      <c r="AK73" s="224"/>
      <c r="AL73" s="245">
        <f ca="1">IF(EB.Anwendung&lt;&gt;"",IF(MONTH(Monat.Tag1)=1,0,IF(MONTH(Monat.Tag1)=2,January!Monat.NDUeVM,IF(MONTH(Monat.Tag1)=3,February!Monat.NDUeVM,IF(MONTH(Monat.Tag1)=4,March!Monat.NDUeVM,IF(MONTH(Monat.Tag1)=5,April!Monat.NDUeVM,IF(MONTH(Monat.Tag1)=6,May!Monat.NDUeVM,IF(MONTH(Monat.Tag1)=7,June!Monat.NDUeVM,IF(MONTH(Monat.Tag1)=8,July!Monat.NDUeVM,IF(MONTH(Monat.Tag1)=9,August!Monat.NDUeVM,IF(MONTH(Monat.Tag1)=10,September!Monat.NDUeVM,IF(MONTH(Monat.Tag1)=11,October!Monat.NDUeVM,IF(MONTH(Monat.Tag1)=12,November!Monat.NDUeVM,"")))))))))))),"")</f>
        <v>0</v>
      </c>
      <c r="AM73" s="209"/>
      <c r="AN73" s="246">
        <f ca="1">AI73+AL73</f>
        <v>0</v>
      </c>
      <c r="AO73" s="208"/>
      <c r="AP73" s="208"/>
      <c r="AQ73" s="119"/>
    </row>
    <row r="74" spans="1:43" s="38" customFormat="1" ht="3.75" hidden="1" customHeight="1" x14ac:dyDescent="0.2">
      <c r="A74" s="220"/>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213"/>
      <c r="AG74" s="205"/>
      <c r="AH74" s="188"/>
      <c r="AI74" s="213"/>
      <c r="AJ74" s="214"/>
      <c r="AK74" s="209"/>
      <c r="AL74" s="209"/>
      <c r="AM74" s="209"/>
      <c r="AN74" s="208"/>
      <c r="AO74" s="209"/>
      <c r="AP74" s="209"/>
      <c r="AQ74" s="119"/>
    </row>
    <row r="75" spans="1:43" s="38" customFormat="1" ht="16.5" hidden="1" customHeight="1" outlineLevel="1" x14ac:dyDescent="0.2">
      <c r="A75" s="215" t="s">
        <v>252</v>
      </c>
      <c r="B75" s="216">
        <f t="shared" ref="B75:AF75" ca="1" si="23">IF(B73&gt;0,ROUND((B73-
IF(B13&lt;T.Nachtbis,MIN(T.Nachtbis-B13,B14-B13)+IF(B15&lt;T.Nachtbis,MIN(T.Nachtbis-B15,B16-B15)+IF(B17&lt;T.Nachtbis,MIN(T.Nachtbis-B17,B18-B17)+IF(B19&lt;T.Nachtbis,MIN(T.Nachtbis-B19,B20-B19)+IF(B21&lt;T.Nachtbis,MIN(T.Nachtbis-B21,B22-B21),0),0),0),0),0))*1440,0)/1440,0)</f>
        <v>0</v>
      </c>
      <c r="C75" s="216">
        <f t="shared" ca="1" si="23"/>
        <v>0</v>
      </c>
      <c r="D75" s="216">
        <f t="shared" ca="1" si="23"/>
        <v>0</v>
      </c>
      <c r="E75" s="216">
        <f t="shared" ca="1" si="23"/>
        <v>0</v>
      </c>
      <c r="F75" s="216">
        <f t="shared" ca="1" si="23"/>
        <v>0</v>
      </c>
      <c r="G75" s="216">
        <f t="shared" ca="1" si="23"/>
        <v>0</v>
      </c>
      <c r="H75" s="216">
        <f t="shared" ca="1" si="23"/>
        <v>0</v>
      </c>
      <c r="I75" s="216">
        <f t="shared" ca="1" si="23"/>
        <v>0</v>
      </c>
      <c r="J75" s="216">
        <f t="shared" ca="1" si="23"/>
        <v>0</v>
      </c>
      <c r="K75" s="216">
        <f t="shared" ca="1" si="23"/>
        <v>0</v>
      </c>
      <c r="L75" s="216">
        <f t="shared" ca="1" si="23"/>
        <v>0</v>
      </c>
      <c r="M75" s="216">
        <f t="shared" ca="1" si="23"/>
        <v>0</v>
      </c>
      <c r="N75" s="216">
        <f t="shared" ca="1" si="23"/>
        <v>0</v>
      </c>
      <c r="O75" s="216">
        <f t="shared" ca="1" si="23"/>
        <v>0</v>
      </c>
      <c r="P75" s="216">
        <f t="shared" ca="1" si="23"/>
        <v>0</v>
      </c>
      <c r="Q75" s="216">
        <f t="shared" ca="1" si="23"/>
        <v>0</v>
      </c>
      <c r="R75" s="216">
        <f t="shared" ca="1" si="23"/>
        <v>0</v>
      </c>
      <c r="S75" s="216">
        <f t="shared" ca="1" si="23"/>
        <v>0</v>
      </c>
      <c r="T75" s="216">
        <f t="shared" ca="1" si="23"/>
        <v>0</v>
      </c>
      <c r="U75" s="216">
        <f t="shared" ca="1" si="23"/>
        <v>0</v>
      </c>
      <c r="V75" s="216">
        <f t="shared" ca="1" si="23"/>
        <v>0</v>
      </c>
      <c r="W75" s="216">
        <f t="shared" ca="1" si="23"/>
        <v>0</v>
      </c>
      <c r="X75" s="216">
        <f t="shared" ca="1" si="23"/>
        <v>0</v>
      </c>
      <c r="Y75" s="216">
        <f t="shared" ca="1" si="23"/>
        <v>0</v>
      </c>
      <c r="Z75" s="216">
        <f t="shared" ca="1" si="23"/>
        <v>0</v>
      </c>
      <c r="AA75" s="216">
        <f t="shared" ca="1" si="23"/>
        <v>0</v>
      </c>
      <c r="AB75" s="216">
        <f t="shared" ca="1" si="23"/>
        <v>0</v>
      </c>
      <c r="AC75" s="216">
        <f t="shared" ca="1" si="23"/>
        <v>0</v>
      </c>
      <c r="AD75" s="216">
        <f t="shared" ca="1" si="23"/>
        <v>0</v>
      </c>
      <c r="AE75" s="216">
        <f t="shared" ca="1" si="23"/>
        <v>0</v>
      </c>
      <c r="AF75" s="216">
        <f t="shared" ca="1" si="23"/>
        <v>0</v>
      </c>
      <c r="AG75" s="217" t="str">
        <f t="shared" ref="AG75:AG77" si="24">A75</f>
        <v>Total NS hours today</v>
      </c>
      <c r="AH75" s="188"/>
      <c r="AI75" s="213"/>
      <c r="AJ75" s="214"/>
      <c r="AK75" s="209"/>
      <c r="AL75" s="209"/>
      <c r="AM75" s="209"/>
      <c r="AN75" s="208"/>
      <c r="AO75" s="209"/>
      <c r="AP75" s="209"/>
      <c r="AQ75" s="119"/>
    </row>
    <row r="76" spans="1:43" s="38" customFormat="1" ht="16.5" hidden="1" customHeight="1" outlineLevel="1" x14ac:dyDescent="0.2">
      <c r="A76" s="215" t="s">
        <v>253</v>
      </c>
      <c r="B76" s="225">
        <f t="shared" ref="B76:AF76" ca="1" si="25">B73-B75</f>
        <v>0</v>
      </c>
      <c r="C76" s="225">
        <f t="shared" ca="1" si="25"/>
        <v>0</v>
      </c>
      <c r="D76" s="225">
        <f t="shared" ca="1" si="25"/>
        <v>0</v>
      </c>
      <c r="E76" s="225">
        <f t="shared" ca="1" si="25"/>
        <v>0</v>
      </c>
      <c r="F76" s="225">
        <f t="shared" ca="1" si="25"/>
        <v>0</v>
      </c>
      <c r="G76" s="225">
        <f t="shared" ca="1" si="25"/>
        <v>0</v>
      </c>
      <c r="H76" s="225">
        <f t="shared" ca="1" si="25"/>
        <v>0</v>
      </c>
      <c r="I76" s="225">
        <f t="shared" ca="1" si="25"/>
        <v>0</v>
      </c>
      <c r="J76" s="225">
        <f t="shared" ca="1" si="25"/>
        <v>0</v>
      </c>
      <c r="K76" s="225">
        <f t="shared" ca="1" si="25"/>
        <v>0</v>
      </c>
      <c r="L76" s="225">
        <f t="shared" ca="1" si="25"/>
        <v>0</v>
      </c>
      <c r="M76" s="225">
        <f t="shared" ca="1" si="25"/>
        <v>0</v>
      </c>
      <c r="N76" s="225">
        <f t="shared" ca="1" si="25"/>
        <v>0</v>
      </c>
      <c r="O76" s="225">
        <f t="shared" ca="1" si="25"/>
        <v>0</v>
      </c>
      <c r="P76" s="225">
        <f t="shared" ca="1" si="25"/>
        <v>0</v>
      </c>
      <c r="Q76" s="225">
        <f t="shared" ca="1" si="25"/>
        <v>0</v>
      </c>
      <c r="R76" s="225">
        <f t="shared" ca="1" si="25"/>
        <v>0</v>
      </c>
      <c r="S76" s="225">
        <f t="shared" ca="1" si="25"/>
        <v>0</v>
      </c>
      <c r="T76" s="225">
        <f t="shared" ca="1" si="25"/>
        <v>0</v>
      </c>
      <c r="U76" s="225">
        <f t="shared" ca="1" si="25"/>
        <v>0</v>
      </c>
      <c r="V76" s="225">
        <f t="shared" ca="1" si="25"/>
        <v>0</v>
      </c>
      <c r="W76" s="225">
        <f t="shared" ca="1" si="25"/>
        <v>0</v>
      </c>
      <c r="X76" s="225">
        <f t="shared" ca="1" si="25"/>
        <v>0</v>
      </c>
      <c r="Y76" s="225">
        <f t="shared" ca="1" si="25"/>
        <v>0</v>
      </c>
      <c r="Z76" s="225">
        <f t="shared" ca="1" si="25"/>
        <v>0</v>
      </c>
      <c r="AA76" s="225">
        <f t="shared" ca="1" si="25"/>
        <v>0</v>
      </c>
      <c r="AB76" s="225">
        <f t="shared" ca="1" si="25"/>
        <v>0</v>
      </c>
      <c r="AC76" s="225">
        <f t="shared" ca="1" si="25"/>
        <v>0</v>
      </c>
      <c r="AD76" s="225">
        <f t="shared" ca="1" si="25"/>
        <v>0</v>
      </c>
      <c r="AE76" s="225">
        <f t="shared" ca="1" si="25"/>
        <v>0</v>
      </c>
      <c r="AF76" s="225">
        <f t="shared" ca="1" si="25"/>
        <v>0</v>
      </c>
      <c r="AG76" s="217" t="str">
        <f t="shared" si="24"/>
        <v>Total NS hours yesterday</v>
      </c>
      <c r="AH76" s="188"/>
      <c r="AI76" s="213"/>
      <c r="AJ76" s="214"/>
      <c r="AK76" s="209"/>
      <c r="AL76" s="209"/>
      <c r="AM76" s="230">
        <f ca="1">IF(EB.Anwendung&lt;&gt;"",IF(MONTH(Monat.Tag1)=12,0,IF(MONTH(Monat.Tag1)=1,February!Monat.NDgesternTag1,IF(MONTH(Monat.Tag1)=2,March!Monat.NDgesternTag1,IF(MONTH(Monat.Tag1)=3,April!Monat.NDgesternTag1,IF(MONTH(Monat.Tag1)=4,May!Monat.NDgesternTag1,IF(MONTH(Monat.Tag1)=5,June!Monat.NDgesternTag1,IF(MONTH(Monat.Tag1)=6,July!Monat.NDgesternTag1,IF(MONTH(Monat.Tag1)=7,August!Monat.NDgesternTag1,IF(MONTH(Monat.Tag1)=8,September!Monat.NDgesternTag1,IF(MONTH(Monat.Tag1)=9,October!Monat.NDgesternTag1,IF(MONTH(Monat.Tag1)=10,November!Monat.NDgesternTag1,IF(MONTH(Monat.Tag1)=11,December!Monat.NDgesternTag1,"")))))))))))),"")</f>
        <v>0</v>
      </c>
      <c r="AN76" s="208"/>
      <c r="AO76" s="209"/>
      <c r="AP76" s="209"/>
      <c r="AQ76" s="119"/>
    </row>
    <row r="77" spans="1:43" s="38" customFormat="1" ht="16.5" hidden="1" customHeight="1" outlineLevel="1" x14ac:dyDescent="0.2">
      <c r="A77" s="215" t="s">
        <v>254</v>
      </c>
      <c r="B77" s="216">
        <f t="shared" ref="B77:AF77" ca="1" si="26">B75+IF(B$10=EOMONTH(B$10,0),$AM76,C76)</f>
        <v>0</v>
      </c>
      <c r="C77" s="216">
        <f t="shared" ca="1" si="26"/>
        <v>0</v>
      </c>
      <c r="D77" s="216">
        <f t="shared" ca="1" si="26"/>
        <v>0</v>
      </c>
      <c r="E77" s="216">
        <f t="shared" ca="1" si="26"/>
        <v>0</v>
      </c>
      <c r="F77" s="216">
        <f t="shared" ca="1" si="26"/>
        <v>0</v>
      </c>
      <c r="G77" s="216">
        <f t="shared" ca="1" si="26"/>
        <v>0</v>
      </c>
      <c r="H77" s="216">
        <f t="shared" ca="1" si="26"/>
        <v>0</v>
      </c>
      <c r="I77" s="216">
        <f t="shared" ca="1" si="26"/>
        <v>0</v>
      </c>
      <c r="J77" s="216">
        <f t="shared" ca="1" si="26"/>
        <v>0</v>
      </c>
      <c r="K77" s="216">
        <f t="shared" ca="1" si="26"/>
        <v>0</v>
      </c>
      <c r="L77" s="216">
        <f t="shared" ca="1" si="26"/>
        <v>0</v>
      </c>
      <c r="M77" s="216">
        <f t="shared" ca="1" si="26"/>
        <v>0</v>
      </c>
      <c r="N77" s="216">
        <f t="shared" ca="1" si="26"/>
        <v>0</v>
      </c>
      <c r="O77" s="216">
        <f t="shared" ca="1" si="26"/>
        <v>0</v>
      </c>
      <c r="P77" s="216">
        <f t="shared" ca="1" si="26"/>
        <v>0</v>
      </c>
      <c r="Q77" s="216">
        <f t="shared" ca="1" si="26"/>
        <v>0</v>
      </c>
      <c r="R77" s="216">
        <f t="shared" ca="1" si="26"/>
        <v>0</v>
      </c>
      <c r="S77" s="216">
        <f t="shared" ca="1" si="26"/>
        <v>0</v>
      </c>
      <c r="T77" s="216">
        <f t="shared" ca="1" si="26"/>
        <v>0</v>
      </c>
      <c r="U77" s="216">
        <f t="shared" ca="1" si="26"/>
        <v>0</v>
      </c>
      <c r="V77" s="216">
        <f t="shared" ca="1" si="26"/>
        <v>0</v>
      </c>
      <c r="W77" s="216">
        <f t="shared" ca="1" si="26"/>
        <v>0</v>
      </c>
      <c r="X77" s="216">
        <f t="shared" ca="1" si="26"/>
        <v>0</v>
      </c>
      <c r="Y77" s="216">
        <f t="shared" ca="1" si="26"/>
        <v>0</v>
      </c>
      <c r="Z77" s="216">
        <f t="shared" ca="1" si="26"/>
        <v>0</v>
      </c>
      <c r="AA77" s="216">
        <f t="shared" ca="1" si="26"/>
        <v>0</v>
      </c>
      <c r="AB77" s="216">
        <f t="shared" ca="1" si="26"/>
        <v>0</v>
      </c>
      <c r="AC77" s="216">
        <f t="shared" ca="1" si="26"/>
        <v>0</v>
      </c>
      <c r="AD77" s="216">
        <f t="shared" ca="1" si="26"/>
        <v>0</v>
      </c>
      <c r="AE77" s="216">
        <f t="shared" ca="1" si="26"/>
        <v>0</v>
      </c>
      <c r="AF77" s="216">
        <f t="shared" ca="1" si="26"/>
        <v>0</v>
      </c>
      <c r="AG77" s="217" t="str">
        <f t="shared" si="24"/>
        <v>Total NS hours</v>
      </c>
      <c r="AH77" s="218"/>
      <c r="AI77" s="219">
        <f ca="1">SUM(B77:AF77)</f>
        <v>0</v>
      </c>
      <c r="AJ77" s="214"/>
      <c r="AK77" s="209"/>
      <c r="AL77" s="209"/>
      <c r="AM77" s="209"/>
      <c r="AN77" s="208"/>
      <c r="AO77" s="209"/>
      <c r="AP77" s="209"/>
      <c r="AQ77" s="119"/>
    </row>
    <row r="78" spans="1:43" s="38" customFormat="1" ht="3.75" hidden="1" customHeight="1" collapsed="1" x14ac:dyDescent="0.2">
      <c r="A78" s="220"/>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2"/>
      <c r="AG78" s="205"/>
      <c r="AH78" s="233"/>
      <c r="AI78" s="222"/>
      <c r="AJ78" s="214"/>
      <c r="AK78" s="209"/>
      <c r="AL78" s="209"/>
      <c r="AM78" s="209"/>
      <c r="AN78" s="208"/>
      <c r="AO78" s="209"/>
      <c r="AP78" s="209"/>
      <c r="AQ78" s="119"/>
    </row>
    <row r="79" spans="1:43" s="38" customFormat="1" ht="15" customHeight="1" outlineLevel="1" x14ac:dyDescent="0.2">
      <c r="A79" s="212" t="s">
        <v>200</v>
      </c>
      <c r="B79" s="280">
        <f t="shared" ref="B79:AF79" ca="1" si="27">IF(AND(T.50_Vetsuisse,B70&gt;24),ROUND(B73*T.50_VetsuisseZZSND*1440,0)/1440,
IF(AND(T.ServiceCenterIrchel,B69&gt;0,B77&gt;=ROUND(1/24*8*1440,0)/1440),ROUND(B77*T.ServiceCenterIrchelZZSND*1440,0)/1440,))</f>
        <v>0</v>
      </c>
      <c r="C79" s="280">
        <f t="shared" ca="1" si="27"/>
        <v>0</v>
      </c>
      <c r="D79" s="280">
        <f t="shared" ca="1" si="27"/>
        <v>0</v>
      </c>
      <c r="E79" s="280">
        <f t="shared" ca="1" si="27"/>
        <v>0</v>
      </c>
      <c r="F79" s="280">
        <f t="shared" ca="1" si="27"/>
        <v>0</v>
      </c>
      <c r="G79" s="280">
        <f t="shared" ca="1" si="27"/>
        <v>0</v>
      </c>
      <c r="H79" s="280">
        <f t="shared" ca="1" si="27"/>
        <v>0</v>
      </c>
      <c r="I79" s="280">
        <f t="shared" ca="1" si="27"/>
        <v>0</v>
      </c>
      <c r="J79" s="280">
        <f t="shared" ca="1" si="27"/>
        <v>0</v>
      </c>
      <c r="K79" s="280">
        <f t="shared" ca="1" si="27"/>
        <v>0</v>
      </c>
      <c r="L79" s="280">
        <f t="shared" ca="1" si="27"/>
        <v>0</v>
      </c>
      <c r="M79" s="280">
        <f t="shared" ca="1" si="27"/>
        <v>0</v>
      </c>
      <c r="N79" s="280">
        <f t="shared" ca="1" si="27"/>
        <v>0</v>
      </c>
      <c r="O79" s="280">
        <f t="shared" ca="1" si="27"/>
        <v>0</v>
      </c>
      <c r="P79" s="280">
        <f t="shared" ca="1" si="27"/>
        <v>0</v>
      </c>
      <c r="Q79" s="280">
        <f t="shared" ca="1" si="27"/>
        <v>0</v>
      </c>
      <c r="R79" s="280">
        <f t="shared" ca="1" si="27"/>
        <v>0</v>
      </c>
      <c r="S79" s="280">
        <f t="shared" ca="1" si="27"/>
        <v>0</v>
      </c>
      <c r="T79" s="280">
        <f t="shared" ca="1" si="27"/>
        <v>0</v>
      </c>
      <c r="U79" s="280">
        <f t="shared" ca="1" si="27"/>
        <v>0</v>
      </c>
      <c r="V79" s="280">
        <f t="shared" ca="1" si="27"/>
        <v>0</v>
      </c>
      <c r="W79" s="280">
        <f t="shared" ca="1" si="27"/>
        <v>0</v>
      </c>
      <c r="X79" s="280">
        <f t="shared" ca="1" si="27"/>
        <v>0</v>
      </c>
      <c r="Y79" s="280">
        <f t="shared" ca="1" si="27"/>
        <v>0</v>
      </c>
      <c r="Z79" s="280">
        <f t="shared" ca="1" si="27"/>
        <v>0</v>
      </c>
      <c r="AA79" s="280">
        <f t="shared" ca="1" si="27"/>
        <v>0</v>
      </c>
      <c r="AB79" s="280">
        <f t="shared" ca="1" si="27"/>
        <v>0</v>
      </c>
      <c r="AC79" s="280">
        <f t="shared" ca="1" si="27"/>
        <v>0</v>
      </c>
      <c r="AD79" s="280">
        <f t="shared" ca="1" si="27"/>
        <v>0</v>
      </c>
      <c r="AE79" s="280">
        <f t="shared" ca="1" si="27"/>
        <v>0</v>
      </c>
      <c r="AF79" s="280">
        <f t="shared" ca="1" si="27"/>
        <v>0</v>
      </c>
      <c r="AG79" s="205" t="str">
        <f t="shared" si="20"/>
        <v>Time supplement night shift</v>
      </c>
      <c r="AH79" s="274"/>
      <c r="AI79" s="238">
        <f t="shared" ref="AI79:AI80" ca="1" si="28">SUM(B79:AF79)</f>
        <v>0</v>
      </c>
      <c r="AJ79" s="261"/>
      <c r="AK79" s="224"/>
      <c r="AL79" s="245">
        <f ca="1">IF(EB.Anwendung&lt;&gt;"",IF(MONTH(Monat.Tag1)=1,EB.ZZNd,IF(MONTH(Monat.Tag1)=2,January!Monat.ZZNdUe,IF(MONTH(Monat.Tag1)=3,February!Monat.ZZNdUe,IF(MONTH(Monat.Tag1)=4,March!Monat.ZZNdUe,IF(MONTH(Monat.Tag1)=5,April!Monat.ZZNdUe,IF(MONTH(Monat.Tag1)=6,May!Monat.ZZNdUe,IF(MONTH(Monat.Tag1)=7,June!Monat.ZZNdUe,IF(MONTH(Monat.Tag1)=8,July!Monat.ZZNdUe,IF(MONTH(Monat.Tag1)=9,August!Monat.ZZNdUe,IF(MONTH(Monat.Tag1)=10,September!Monat.ZZNdUe,IF(MONTH(Monat.Tag1)=11,October!Monat.ZZNdUe,IF(MONTH(Monat.Tag1)=12,November!Monat.ZZNdUe,"")))))))))))),"")</f>
        <v>0</v>
      </c>
      <c r="AM79" s="209"/>
      <c r="AN79" s="246">
        <f ca="1">AI79+AL79-AI71</f>
        <v>0</v>
      </c>
      <c r="AO79" s="246">
        <f ca="1">OFFSET(Jahr.ZZSNDSaldo,-13+MONTH(Monat.Tag1),0,1,1)</f>
        <v>0</v>
      </c>
      <c r="AP79" s="246">
        <f ca="1">Jahr.ZZSNDSaldo</f>
        <v>0</v>
      </c>
      <c r="AQ79" s="119"/>
    </row>
    <row r="80" spans="1:43" s="38" customFormat="1" ht="15" customHeight="1" outlineLevel="1" x14ac:dyDescent="0.2">
      <c r="A80" s="212" t="s">
        <v>224</v>
      </c>
      <c r="B80" s="280" t="str">
        <f t="shared" ref="B80:AF80" si="29">IF(T.50_Vetsuisse,IF(OR(B$12=0,B$11=0,WEEKDAY(B$10,2)&gt;5),0,ROUND((MAX(0,T.Abendbis-MAX(B13,T.Abendab))-MAX(0,T.Abendbis-MAX(T.Abendab,B14))+(B13&gt;B14)*(1+T.Abendab-T.Abendbis)+MAX(0,T.Abendbis-MAX(B15,T.Abendab))-MAX(0,T.Abendbis-MAX(T.Abendab,B16))+(B15&gt;B16)*(1+T.Abendab-T.Abendbis)+MAX(0,T.Abendbis-MAX(B17,T.Abendab))-MAX(0,T.Abendbis-MAX(T.Abendab,B18))+(B17&gt;B18)*(1+T.Abendab-T.Abendbis)+MAX(0,T.Abendbis-MAX(B19,T.Abendab))-MAX(0,T.Abendbis-MAX(T.Abendab,B20))+(B19&gt;B20)*(1+T.Abendab-T.Abendbis)+MAX(0,T.Abendbis-MAX(B21,T.Abendab))-MAX(0,T.Abendbis-MAX(T.Abendab,B22))+(B21&gt;B22)*(1+T.Abendab-T.Abendbis))*1440,0)/1440),"")</f>
        <v/>
      </c>
      <c r="C80" s="280" t="str">
        <f t="shared" si="29"/>
        <v/>
      </c>
      <c r="D80" s="280" t="str">
        <f t="shared" si="29"/>
        <v/>
      </c>
      <c r="E80" s="280" t="str">
        <f t="shared" si="29"/>
        <v/>
      </c>
      <c r="F80" s="280" t="str">
        <f t="shared" si="29"/>
        <v/>
      </c>
      <c r="G80" s="280" t="str">
        <f t="shared" si="29"/>
        <v/>
      </c>
      <c r="H80" s="280" t="str">
        <f t="shared" si="29"/>
        <v/>
      </c>
      <c r="I80" s="280" t="str">
        <f t="shared" si="29"/>
        <v/>
      </c>
      <c r="J80" s="280" t="str">
        <f t="shared" si="29"/>
        <v/>
      </c>
      <c r="K80" s="280" t="str">
        <f t="shared" si="29"/>
        <v/>
      </c>
      <c r="L80" s="280" t="str">
        <f t="shared" si="29"/>
        <v/>
      </c>
      <c r="M80" s="280" t="str">
        <f t="shared" si="29"/>
        <v/>
      </c>
      <c r="N80" s="280" t="str">
        <f t="shared" si="29"/>
        <v/>
      </c>
      <c r="O80" s="280" t="str">
        <f t="shared" si="29"/>
        <v/>
      </c>
      <c r="P80" s="280" t="str">
        <f t="shared" si="29"/>
        <v/>
      </c>
      <c r="Q80" s="280" t="str">
        <f t="shared" si="29"/>
        <v/>
      </c>
      <c r="R80" s="280" t="str">
        <f t="shared" si="29"/>
        <v/>
      </c>
      <c r="S80" s="280" t="str">
        <f t="shared" si="29"/>
        <v/>
      </c>
      <c r="T80" s="280" t="str">
        <f t="shared" si="29"/>
        <v/>
      </c>
      <c r="U80" s="280" t="str">
        <f t="shared" si="29"/>
        <v/>
      </c>
      <c r="V80" s="280" t="str">
        <f t="shared" si="29"/>
        <v/>
      </c>
      <c r="W80" s="280" t="str">
        <f t="shared" si="29"/>
        <v/>
      </c>
      <c r="X80" s="280" t="str">
        <f t="shared" si="29"/>
        <v/>
      </c>
      <c r="Y80" s="280" t="str">
        <f t="shared" si="29"/>
        <v/>
      </c>
      <c r="Z80" s="280" t="str">
        <f t="shared" si="29"/>
        <v/>
      </c>
      <c r="AA80" s="280" t="str">
        <f t="shared" si="29"/>
        <v/>
      </c>
      <c r="AB80" s="280" t="str">
        <f t="shared" si="29"/>
        <v/>
      </c>
      <c r="AC80" s="280" t="str">
        <f t="shared" si="29"/>
        <v/>
      </c>
      <c r="AD80" s="280" t="str">
        <f t="shared" si="29"/>
        <v/>
      </c>
      <c r="AE80" s="280" t="str">
        <f t="shared" si="29"/>
        <v/>
      </c>
      <c r="AF80" s="280" t="str">
        <f t="shared" si="29"/>
        <v/>
      </c>
      <c r="AG80" s="205" t="str">
        <f t="shared" si="20"/>
        <v>Evening work</v>
      </c>
      <c r="AH80" s="274"/>
      <c r="AI80" s="238">
        <f t="shared" si="28"/>
        <v>0</v>
      </c>
      <c r="AJ80" s="261"/>
      <c r="AK80" s="224"/>
      <c r="AL80" s="245">
        <f ca="1">IF(EB.Anwendung&lt;&gt;"",IF(MONTH(Monat.Tag1)=1,0,IF(MONTH(Monat.Tag1)=2,January!Monat.AAUeVM,IF(MONTH(Monat.Tag1)=3,February!Monat.AAUeVM,IF(MONTH(Monat.Tag1)=4,March!Monat.AAUeVM,IF(MONTH(Monat.Tag1)=5,April!Monat.AAUeVM,IF(MONTH(Monat.Tag1)=6,May!Monat.AAUeVM,IF(MONTH(Monat.Tag1)=7,June!Monat.AAUeVM,IF(MONTH(Monat.Tag1)=8,July!Monat.AAUeVM,IF(MONTH(Monat.Tag1)=9,August!Monat.AAUeVM,IF(MONTH(Monat.Tag1)=10,September!Monat.AAUeVM,IF(MONTH(Monat.Tag1)=11,October!Monat.AAUeVM,IF(MONTH(Monat.Tag1)=12,November!Monat.AAUeVM,"")))))))))))),"")</f>
        <v>0</v>
      </c>
      <c r="AM80" s="209"/>
      <c r="AN80" s="246">
        <f ca="1">AI80+AL80</f>
        <v>0</v>
      </c>
      <c r="AO80" s="208"/>
      <c r="AP80" s="208"/>
      <c r="AQ80" s="119"/>
    </row>
    <row r="81" spans="1:43" s="38" customFormat="1" ht="15" customHeight="1" outlineLevel="1" x14ac:dyDescent="0.2">
      <c r="A81" s="212" t="s">
        <v>89</v>
      </c>
      <c r="B81" s="280">
        <f t="shared" ref="B81:AF81" ca="1" si="30">IF(EB.Wochenarbeitszeit=50/24,"",IF(B$12=0,0,IF(OR(WEEKDAY(B$10,2)&gt;5,B$11=0),IF(NOT(B$34=INDEX(T.Pikett.Bereich,1)),1,0),IF(WEEKDAY(B$10,2)&lt;6,IF(AND(OR(B$34=INDEX(T.Pikett.Bereich,2),B$34=INDEX(T.Pikett.Bereich,3)),B$11=1),8/24,0))+IF(WEEKDAY(B$10,2)&lt;6,IF(AND(OR(B$34=INDEX(T.Pikett.Bereich,2),B$34=INDEX(T.Pikett.Bereich,3)),B$11=6/8.4),10/24,0))
+IF(WEEKDAY(B$10,2)&lt;6,IF(AND(OR(B$34=INDEX(T.Pikett.Bereich,2),B$34=INDEX(T.Pikett.Bereich,3)),B$11=0.5),0.5,0))
+IF(AND(B$34=INDEX(T.Pikett.Bereich,4),B$11=6/8.4),0.75,0)+IF(AND(B$34=INDEX(T.Pikett.Bereich,4),B$11=1),16/24,0)
+IF(AND(B$34=INDEX(T.Pikett.Bereich,4),B$11=0.5),20/24,0))))</f>
        <v>0</v>
      </c>
      <c r="C81" s="280">
        <f t="shared" ca="1" si="30"/>
        <v>0</v>
      </c>
      <c r="D81" s="280">
        <f t="shared" ca="1" si="30"/>
        <v>0</v>
      </c>
      <c r="E81" s="280">
        <f t="shared" ca="1" si="30"/>
        <v>0</v>
      </c>
      <c r="F81" s="280">
        <f t="shared" ca="1" si="30"/>
        <v>0</v>
      </c>
      <c r="G81" s="280">
        <f t="shared" ca="1" si="30"/>
        <v>0</v>
      </c>
      <c r="H81" s="280">
        <f t="shared" ca="1" si="30"/>
        <v>0</v>
      </c>
      <c r="I81" s="280">
        <f t="shared" ca="1" si="30"/>
        <v>0</v>
      </c>
      <c r="J81" s="280">
        <f t="shared" ca="1" si="30"/>
        <v>0</v>
      </c>
      <c r="K81" s="280">
        <f t="shared" ca="1" si="30"/>
        <v>0</v>
      </c>
      <c r="L81" s="280">
        <f t="shared" ca="1" si="30"/>
        <v>0</v>
      </c>
      <c r="M81" s="280">
        <f t="shared" ca="1" si="30"/>
        <v>0</v>
      </c>
      <c r="N81" s="280">
        <f t="shared" ca="1" si="30"/>
        <v>0</v>
      </c>
      <c r="O81" s="280">
        <f t="shared" ca="1" si="30"/>
        <v>0</v>
      </c>
      <c r="P81" s="280">
        <f t="shared" ca="1" si="30"/>
        <v>0</v>
      </c>
      <c r="Q81" s="280">
        <f t="shared" ca="1" si="30"/>
        <v>0</v>
      </c>
      <c r="R81" s="280">
        <f t="shared" ca="1" si="30"/>
        <v>0</v>
      </c>
      <c r="S81" s="280">
        <f t="shared" ca="1" si="30"/>
        <v>0</v>
      </c>
      <c r="T81" s="280">
        <f t="shared" ca="1" si="30"/>
        <v>0</v>
      </c>
      <c r="U81" s="280">
        <f t="shared" ca="1" si="30"/>
        <v>0</v>
      </c>
      <c r="V81" s="280">
        <f t="shared" ca="1" si="30"/>
        <v>0</v>
      </c>
      <c r="W81" s="280">
        <f t="shared" ca="1" si="30"/>
        <v>0</v>
      </c>
      <c r="X81" s="280">
        <f t="shared" ca="1" si="30"/>
        <v>0</v>
      </c>
      <c r="Y81" s="280">
        <f t="shared" ca="1" si="30"/>
        <v>0</v>
      </c>
      <c r="Z81" s="280">
        <f t="shared" ca="1" si="30"/>
        <v>0</v>
      </c>
      <c r="AA81" s="280">
        <f t="shared" ca="1" si="30"/>
        <v>0</v>
      </c>
      <c r="AB81" s="280">
        <f t="shared" ca="1" si="30"/>
        <v>0</v>
      </c>
      <c r="AC81" s="280">
        <f t="shared" ca="1" si="30"/>
        <v>0</v>
      </c>
      <c r="AD81" s="280">
        <f t="shared" ca="1" si="30"/>
        <v>0</v>
      </c>
      <c r="AE81" s="280">
        <f t="shared" ca="1" si="30"/>
        <v>0</v>
      </c>
      <c r="AF81" s="280">
        <f t="shared" ca="1" si="30"/>
        <v>0</v>
      </c>
      <c r="AG81" s="205" t="str">
        <f t="shared" si="20"/>
        <v>On-call duty</v>
      </c>
      <c r="AH81" s="274"/>
      <c r="AI81" s="238">
        <f ca="1">SUM(B81:AF81)</f>
        <v>0</v>
      </c>
      <c r="AJ81" s="261"/>
      <c r="AK81" s="224"/>
      <c r="AL81" s="245">
        <f ca="1">IF(EB.Anwendung&lt;&gt;"",IF(MONTH(Monat.Tag1)=1,0,IF(MONTH(Monat.Tag1)=2,January!Monat.BDUeVM,IF(MONTH(Monat.Tag1)=3,February!Monat.BDUeVM,IF(MONTH(Monat.Tag1)=4,March!Monat.BDUeVM,IF(MONTH(Monat.Tag1)=5,April!Monat.BDUeVM,IF(MONTH(Monat.Tag1)=6,May!Monat.BDUeVM,IF(MONTH(Monat.Tag1)=7,June!Monat.BDUeVM,IF(MONTH(Monat.Tag1)=8,July!Monat.BDUeVM,IF(MONTH(Monat.Tag1)=9,August!Monat.BDUeVM,IF(MONTH(Monat.Tag1)=10,September!Monat.BDUeVM,IF(MONTH(Monat.Tag1)=11,October!Monat.BDUeVM,IF(MONTH(Monat.Tag1)=12,November!Monat.BDUeVM,"")))))))))))),"")</f>
        <v>0</v>
      </c>
      <c r="AM81" s="209"/>
      <c r="AN81" s="246">
        <f ca="1">AI81+AL81</f>
        <v>0</v>
      </c>
      <c r="AO81" s="208"/>
      <c r="AP81" s="208"/>
      <c r="AQ81" s="119"/>
    </row>
    <row r="82" spans="1:43" s="38" customFormat="1" ht="15" customHeight="1" outlineLevel="1" x14ac:dyDescent="0.2">
      <c r="A82" s="212" t="s">
        <v>90</v>
      </c>
      <c r="B82" s="280">
        <f t="shared" ref="B82:AF82" ca="1" si="31">IF(B$12=0,"",IF(OR(WEEKDAY(B$10,2)&gt;5,B$11=0),
IF(T.50_NoVetsuisse,B45,
IF(T.50_Vetsuisse,IF(B23-B73=0,"",B23-B73),
IF(T.ServiceCenterIrchel,B23,
B60))),))</f>
        <v>0</v>
      </c>
      <c r="C82" s="280">
        <f t="shared" ca="1" si="31"/>
        <v>0</v>
      </c>
      <c r="D82" s="281">
        <f t="shared" ca="1" si="31"/>
        <v>0</v>
      </c>
      <c r="E82" s="280" t="str">
        <f t="shared" ca="1" si="31"/>
        <v/>
      </c>
      <c r="F82" s="281" t="str">
        <f t="shared" ca="1" si="31"/>
        <v/>
      </c>
      <c r="G82" s="281">
        <f t="shared" ca="1" si="31"/>
        <v>0</v>
      </c>
      <c r="H82" s="281">
        <f t="shared" ca="1" si="31"/>
        <v>0</v>
      </c>
      <c r="I82" s="281">
        <f t="shared" ca="1" si="31"/>
        <v>0</v>
      </c>
      <c r="J82" s="280">
        <f t="shared" ca="1" si="31"/>
        <v>0</v>
      </c>
      <c r="K82" s="281">
        <f t="shared" ca="1" si="31"/>
        <v>0</v>
      </c>
      <c r="L82" s="280" t="str">
        <f t="shared" ca="1" si="31"/>
        <v/>
      </c>
      <c r="M82" s="281" t="str">
        <f t="shared" ca="1" si="31"/>
        <v/>
      </c>
      <c r="N82" s="281">
        <f t="shared" ca="1" si="31"/>
        <v>0</v>
      </c>
      <c r="O82" s="281">
        <f t="shared" ca="1" si="31"/>
        <v>0</v>
      </c>
      <c r="P82" s="281">
        <f t="shared" ca="1" si="31"/>
        <v>0</v>
      </c>
      <c r="Q82" s="280">
        <f t="shared" ca="1" si="31"/>
        <v>0</v>
      </c>
      <c r="R82" s="281">
        <f t="shared" ca="1" si="31"/>
        <v>0</v>
      </c>
      <c r="S82" s="280" t="str">
        <f t="shared" ca="1" si="31"/>
        <v/>
      </c>
      <c r="T82" s="280" t="str">
        <f t="shared" ca="1" si="31"/>
        <v/>
      </c>
      <c r="U82" s="281">
        <f t="shared" ca="1" si="31"/>
        <v>0</v>
      </c>
      <c r="V82" s="281">
        <f t="shared" ca="1" si="31"/>
        <v>0</v>
      </c>
      <c r="W82" s="281">
        <f t="shared" ca="1" si="31"/>
        <v>0</v>
      </c>
      <c r="X82" s="280">
        <f t="shared" ca="1" si="31"/>
        <v>0</v>
      </c>
      <c r="Y82" s="281">
        <f t="shared" ca="1" si="31"/>
        <v>0</v>
      </c>
      <c r="Z82" s="282" t="str">
        <f t="shared" ca="1" si="31"/>
        <v/>
      </c>
      <c r="AA82" s="281" t="str">
        <f t="shared" ca="1" si="31"/>
        <v/>
      </c>
      <c r="AB82" s="281">
        <f t="shared" ca="1" si="31"/>
        <v>0</v>
      </c>
      <c r="AC82" s="281">
        <f t="shared" ca="1" si="31"/>
        <v>0</v>
      </c>
      <c r="AD82" s="281">
        <f t="shared" ca="1" si="31"/>
        <v>0</v>
      </c>
      <c r="AE82" s="280">
        <f t="shared" ca="1" si="31"/>
        <v>0</v>
      </c>
      <c r="AF82" s="281">
        <f t="shared" ca="1" si="31"/>
        <v>0</v>
      </c>
      <c r="AG82" s="205" t="str">
        <f t="shared" si="20"/>
        <v>Saturday/Sunday shift</v>
      </c>
      <c r="AH82" s="228"/>
      <c r="AI82" s="238">
        <f ca="1">SUM(B82:AF82)</f>
        <v>0</v>
      </c>
      <c r="AJ82" s="229">
        <f ca="1">IFERROR(SUMPRODUCT((B82:AF82&gt;0)*(B82:AF82&lt;&gt;"")),0)</f>
        <v>0</v>
      </c>
      <c r="AK82" s="224"/>
      <c r="AL82" s="245">
        <f ca="1">IF(EB.Anwendung&lt;&gt;"",IF(MONTH(Monat.Tag1)=1,0,IF(MONTH(Monat.Tag1)=2,January!Monat.SDUeVM,IF(MONTH(Monat.Tag1)=3,February!Monat.SDUeVM,IF(MONTH(Monat.Tag1)=4,March!Monat.SDUeVM,IF(MONTH(Monat.Tag1)=5,April!Monat.SDUeVM,IF(MONTH(Monat.Tag1)=6,May!Monat.SDUeVM,IF(MONTH(Monat.Tag1)=7,June!Monat.SDUeVM,IF(MONTH(Monat.Tag1)=8,July!Monat.SDUeVM,IF(MONTH(Monat.Tag1)=9,August!Monat.SDUeVM,IF(MONTH(Monat.Tag1)=10,September!Monat.SDUeVM,IF(MONTH(Monat.Tag1)=11,October!Monat.SDUeVM,IF(MONTH(Monat.Tag1)=12,November!Monat.SDUeVM,"")))))))))))),"")</f>
        <v>0</v>
      </c>
      <c r="AM82" s="209"/>
      <c r="AN82" s="246">
        <f ca="1">AI82+AL82</f>
        <v>0</v>
      </c>
      <c r="AO82" s="208"/>
      <c r="AP82" s="208"/>
      <c r="AQ82" s="119"/>
    </row>
    <row r="83" spans="1:43" s="38" customFormat="1" ht="11.25" customHeight="1" outlineLevel="1" x14ac:dyDescent="0.2">
      <c r="A83" s="220"/>
      <c r="B83" s="226"/>
      <c r="C83" s="226"/>
      <c r="D83" s="226"/>
      <c r="E83" s="226"/>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7"/>
      <c r="AG83" s="205"/>
      <c r="AH83" s="228"/>
      <c r="AI83" s="224"/>
      <c r="AJ83" s="278"/>
      <c r="AK83" s="262"/>
      <c r="AL83" s="262"/>
      <c r="AM83" s="209"/>
      <c r="AN83" s="279"/>
      <c r="AO83" s="283"/>
      <c r="AP83" s="283"/>
      <c r="AQ83" s="119"/>
    </row>
    <row r="84" spans="1:43" s="38" customFormat="1" ht="15" customHeight="1" x14ac:dyDescent="0.2">
      <c r="A84" s="212" t="s">
        <v>80</v>
      </c>
      <c r="B84" s="40"/>
      <c r="C84" s="40"/>
      <c r="D84" s="40"/>
      <c r="E84" s="40"/>
      <c r="F84" s="40"/>
      <c r="G84" s="40"/>
      <c r="H84" s="40"/>
      <c r="I84" s="40"/>
      <c r="J84" s="40"/>
      <c r="K84" s="40"/>
      <c r="L84" s="40"/>
      <c r="M84" s="40"/>
      <c r="N84" s="40"/>
      <c r="O84" s="40"/>
      <c r="P84" s="40"/>
      <c r="Q84" s="40"/>
      <c r="R84" s="40"/>
      <c r="S84" s="40"/>
      <c r="T84" s="40"/>
      <c r="U84" s="40"/>
      <c r="V84" s="40"/>
      <c r="W84" s="40"/>
      <c r="X84" s="40"/>
      <c r="Y84" s="40"/>
      <c r="Z84" s="47"/>
      <c r="AA84" s="40"/>
      <c r="AB84" s="40"/>
      <c r="AC84" s="40"/>
      <c r="AD84" s="40"/>
      <c r="AE84" s="40"/>
      <c r="AF84" s="40"/>
      <c r="AG84" s="205" t="str">
        <f>A84 &amp; IFERROR(IF(AND(MONTH(Monat.Tag1)=6,EB.Jahr&gt;2020),IF(SUM(Jahresabrechnung!AC15:AC20)&lt;EB.FerienBer,IF(EB.Sprache="EN"," (Balance PY "," (Saldo VJ ") &amp; " &gt; 0!)",""),""),"")</f>
        <v>Vacation</v>
      </c>
      <c r="AH84" s="218"/>
      <c r="AI84" s="238">
        <f t="shared" ref="AI84:AI95" si="32">SUM(B84:AF84)</f>
        <v>0</v>
      </c>
      <c r="AJ84" s="261"/>
      <c r="AK84" s="245">
        <f ca="1">OFFSET(EB.MFAStd.Knoten,MONTH(Monat.Tag1),0,1,1)</f>
        <v>0</v>
      </c>
      <c r="AL84" s="245">
        <f ca="1">IF(EB.Anwendung&lt;&gt;"",IF(MONTH(Monat.Tag1)=1,EB.FerienBer,IF(MONTH(Monat.Tag1)=2,January!Monat.FerienUeVM,IF(MONTH(Monat.Tag1)=3,February!Monat.FerienUeVM,IF(MONTH(Monat.Tag1)=4,March!Monat.FerienUeVM,IF(MONTH(Monat.Tag1)=5,April!Monat.FerienUeVM,IF(MONTH(Monat.Tag1)=6,May!Monat.FerienUeVM,IF(MONTH(Monat.Tag1)=7,June!Monat.FerienUeVM,IF(MONTH(Monat.Tag1)=8,July!Monat.FerienUeVM,IF(MONTH(Monat.Tag1)=9,August!Monat.FerienUeVM,IF(MONTH(Monat.Tag1)=10,September!Monat.FerienUeVM,IF(MONTH(Monat.Tag1)=11,October!Monat.FerienUeVM,IF(MONTH(Monat.Tag1)=12,November!Monat.FerienUeVM,"")))))))))))),"")</f>
        <v>0</v>
      </c>
      <c r="AM84" s="209"/>
      <c r="AN84" s="246">
        <f ca="1">ROUND(IF(AH85="+",(AK84+AL84-Monat.Ferien.Total+AI85),(AK84+AL84-Monat.Ferien.Total-AI85))*1440,0)/1440</f>
        <v>0</v>
      </c>
      <c r="AO84" s="246">
        <f ca="1">SUM(Jahresabrechnung!AC12:AC13)-SUM(OFFSET(Jahresabrechnung!AC15,0,0,MONTH(Monat.Tag1),1))</f>
        <v>0</v>
      </c>
      <c r="AP84" s="246">
        <f ca="1">J.FerienUE.Total</f>
        <v>0</v>
      </c>
      <c r="AQ84" s="119"/>
    </row>
    <row r="85" spans="1:43" s="38" customFormat="1" ht="15" customHeight="1" x14ac:dyDescent="0.2">
      <c r="A85" s="220"/>
      <c r="B85" s="437">
        <f t="shared" ref="B85:AF85" ca="1" si="33">IF(DAY(B$10)=1,Monat.Ferien.JS+Monat.Ferien.Total-B84,A85-B84)</f>
        <v>0</v>
      </c>
      <c r="C85" s="437">
        <f t="shared" ca="1" si="33"/>
        <v>0</v>
      </c>
      <c r="D85" s="437">
        <f t="shared" ca="1" si="33"/>
        <v>0</v>
      </c>
      <c r="E85" s="437">
        <f t="shared" ca="1" si="33"/>
        <v>0</v>
      </c>
      <c r="F85" s="437">
        <f t="shared" ca="1" si="33"/>
        <v>0</v>
      </c>
      <c r="G85" s="437">
        <f t="shared" ca="1" si="33"/>
        <v>0</v>
      </c>
      <c r="H85" s="437">
        <f t="shared" ca="1" si="33"/>
        <v>0</v>
      </c>
      <c r="I85" s="437">
        <f t="shared" ca="1" si="33"/>
        <v>0</v>
      </c>
      <c r="J85" s="437">
        <f t="shared" ca="1" si="33"/>
        <v>0</v>
      </c>
      <c r="K85" s="437">
        <f t="shared" ca="1" si="33"/>
        <v>0</v>
      </c>
      <c r="L85" s="437">
        <f t="shared" ca="1" si="33"/>
        <v>0</v>
      </c>
      <c r="M85" s="437">
        <f t="shared" ca="1" si="33"/>
        <v>0</v>
      </c>
      <c r="N85" s="437">
        <f t="shared" ca="1" si="33"/>
        <v>0</v>
      </c>
      <c r="O85" s="437">
        <f t="shared" ca="1" si="33"/>
        <v>0</v>
      </c>
      <c r="P85" s="437">
        <f t="shared" ca="1" si="33"/>
        <v>0</v>
      </c>
      <c r="Q85" s="437">
        <f t="shared" ca="1" si="33"/>
        <v>0</v>
      </c>
      <c r="R85" s="437">
        <f t="shared" ca="1" si="33"/>
        <v>0</v>
      </c>
      <c r="S85" s="437">
        <f t="shared" ca="1" si="33"/>
        <v>0</v>
      </c>
      <c r="T85" s="437">
        <f t="shared" ca="1" si="33"/>
        <v>0</v>
      </c>
      <c r="U85" s="437">
        <f t="shared" ca="1" si="33"/>
        <v>0</v>
      </c>
      <c r="V85" s="437">
        <f t="shared" ca="1" si="33"/>
        <v>0</v>
      </c>
      <c r="W85" s="437">
        <f t="shared" ca="1" si="33"/>
        <v>0</v>
      </c>
      <c r="X85" s="437">
        <f t="shared" ca="1" si="33"/>
        <v>0</v>
      </c>
      <c r="Y85" s="437">
        <f t="shared" ca="1" si="33"/>
        <v>0</v>
      </c>
      <c r="Z85" s="437">
        <f t="shared" ca="1" si="33"/>
        <v>0</v>
      </c>
      <c r="AA85" s="437">
        <f t="shared" ca="1" si="33"/>
        <v>0</v>
      </c>
      <c r="AB85" s="437">
        <f t="shared" ca="1" si="33"/>
        <v>0</v>
      </c>
      <c r="AC85" s="437">
        <f t="shared" ca="1" si="33"/>
        <v>0</v>
      </c>
      <c r="AD85" s="437">
        <f t="shared" ca="1" si="33"/>
        <v>0</v>
      </c>
      <c r="AE85" s="437">
        <f t="shared" ca="1" si="33"/>
        <v>0</v>
      </c>
      <c r="AF85" s="438">
        <f t="shared" ca="1" si="33"/>
        <v>0</v>
      </c>
      <c r="AG85" s="212" t="s">
        <v>92</v>
      </c>
      <c r="AH85" s="45" t="s">
        <v>2</v>
      </c>
      <c r="AI85" s="48"/>
      <c r="AJ85" s="270"/>
      <c r="AK85" s="209"/>
      <c r="AL85" s="209"/>
      <c r="AM85" s="209"/>
      <c r="AN85" s="208"/>
      <c r="AO85" s="284"/>
      <c r="AP85" s="284"/>
      <c r="AQ85" s="119"/>
    </row>
    <row r="86" spans="1:43" s="38" customFormat="1" ht="15" customHeight="1" x14ac:dyDescent="0.2">
      <c r="A86" s="212" t="s">
        <v>81</v>
      </c>
      <c r="B86" s="40"/>
      <c r="C86" s="40"/>
      <c r="D86" s="40"/>
      <c r="E86" s="27"/>
      <c r="F86" s="40"/>
      <c r="G86" s="40"/>
      <c r="H86" s="40"/>
      <c r="I86" s="40"/>
      <c r="J86" s="27"/>
      <c r="K86" s="40"/>
      <c r="L86" s="27"/>
      <c r="M86" s="40"/>
      <c r="N86" s="40"/>
      <c r="O86" s="40"/>
      <c r="P86" s="40"/>
      <c r="Q86" s="27"/>
      <c r="R86" s="40"/>
      <c r="S86" s="27"/>
      <c r="T86" s="27"/>
      <c r="U86" s="40"/>
      <c r="V86" s="40"/>
      <c r="W86" s="40"/>
      <c r="X86" s="27"/>
      <c r="Y86" s="40"/>
      <c r="Z86" s="39"/>
      <c r="AA86" s="40"/>
      <c r="AB86" s="40"/>
      <c r="AC86" s="40"/>
      <c r="AD86" s="40"/>
      <c r="AE86" s="27"/>
      <c r="AF86" s="40"/>
      <c r="AG86" s="205" t="str">
        <f t="shared" ref="AG86:AG112" si="34">A86</f>
        <v>Consultation</v>
      </c>
      <c r="AH86" s="218"/>
      <c r="AI86" s="238">
        <f t="shared" si="32"/>
        <v>0</v>
      </c>
      <c r="AJ86" s="261"/>
      <c r="AK86" s="262"/>
      <c r="AL86" s="245">
        <f ca="1">IF(EB.Anwendung&lt;&gt;"",IF(MONTH(Monat.Tag1)=1,0,IF(MONTH(Monat.Tag1)=2,January!Monat.ArztUeVM,IF(MONTH(Monat.Tag1)=3,February!Monat.ArztUeVM,IF(MONTH(Monat.Tag1)=4,March!Monat.ArztUeVM,IF(MONTH(Monat.Tag1)=5,April!Monat.ArztUeVM,IF(MONTH(Monat.Tag1)=6,May!Monat.ArztUeVM,IF(MONTH(Monat.Tag1)=7,June!Monat.ArztUeVM,IF(MONTH(Monat.Tag1)=8,July!Monat.ArztUeVM,IF(MONTH(Monat.Tag1)=9,August!Monat.ArztUeVM,IF(MONTH(Monat.Tag1)=10,September!Monat.ArztUeVM,IF(MONTH(Monat.Tag1)=11,October!Monat.ArztUeVM,IF(MONTH(Monat.Tag1)=12,November!Monat.ArztUeVM,"")))))))))))),"")</f>
        <v>0</v>
      </c>
      <c r="AM86" s="209"/>
      <c r="AN86" s="246">
        <f t="shared" ref="AN86:AN94" ca="1" si="35">AI86+AL86</f>
        <v>0</v>
      </c>
      <c r="AO86" s="208"/>
      <c r="AP86" s="208"/>
      <c r="AQ86" s="119"/>
    </row>
    <row r="87" spans="1:43" s="38" customFormat="1" ht="15" customHeight="1" x14ac:dyDescent="0.2">
      <c r="A87" s="212" t="s">
        <v>82</v>
      </c>
      <c r="B87" s="40"/>
      <c r="C87" s="40"/>
      <c r="D87" s="40"/>
      <c r="E87" s="27"/>
      <c r="F87" s="40"/>
      <c r="G87" s="40"/>
      <c r="H87" s="40"/>
      <c r="I87" s="40"/>
      <c r="J87" s="27"/>
      <c r="K87" s="40"/>
      <c r="L87" s="27"/>
      <c r="M87" s="40"/>
      <c r="N87" s="40"/>
      <c r="O87" s="40"/>
      <c r="P87" s="40"/>
      <c r="Q87" s="27"/>
      <c r="R87" s="40"/>
      <c r="S87" s="27"/>
      <c r="T87" s="27"/>
      <c r="U87" s="40"/>
      <c r="V87" s="40"/>
      <c r="W87" s="40"/>
      <c r="X87" s="27"/>
      <c r="Y87" s="40"/>
      <c r="Z87" s="39"/>
      <c r="AA87" s="40"/>
      <c r="AB87" s="40"/>
      <c r="AC87" s="40"/>
      <c r="AD87" s="40"/>
      <c r="AE87" s="27"/>
      <c r="AF87" s="40"/>
      <c r="AG87" s="205" t="str">
        <f t="shared" si="34"/>
        <v>Illness</v>
      </c>
      <c r="AH87" s="218"/>
      <c r="AI87" s="238">
        <f t="shared" si="32"/>
        <v>0</v>
      </c>
      <c r="AJ87" s="261"/>
      <c r="AK87" s="262"/>
      <c r="AL87" s="245">
        <f ca="1">IF(EB.Anwendung&lt;&gt;"",IF(MONTH(Monat.Tag1)=1,0,IF(MONTH(Monat.Tag1)=2,January!Monat.KrankUeVM,IF(MONTH(Monat.Tag1)=3,February!Monat.KrankUeVM,IF(MONTH(Monat.Tag1)=4,March!Monat.KrankUeVM,IF(MONTH(Monat.Tag1)=5,April!Monat.KrankUeVM,IF(MONTH(Monat.Tag1)=6,May!Monat.KrankUeVM,IF(MONTH(Monat.Tag1)=7,June!Monat.KrankUeVM,IF(MONTH(Monat.Tag1)=8,July!Monat.KrankUeVM,IF(MONTH(Monat.Tag1)=9,August!Monat.KrankUeVM,IF(MONTH(Monat.Tag1)=10,September!Monat.KrankUeVM,IF(MONTH(Monat.Tag1)=11,October!Monat.KrankUeVM,IF(MONTH(Monat.Tag1)=12,November!Monat.KrankUeVM,"")))))))))))),"")</f>
        <v>0</v>
      </c>
      <c r="AM87" s="209"/>
      <c r="AN87" s="246">
        <f t="shared" ca="1" si="35"/>
        <v>0</v>
      </c>
      <c r="AO87" s="208"/>
      <c r="AP87" s="208"/>
      <c r="AQ87" s="119"/>
    </row>
    <row r="88" spans="1:43" s="38" customFormat="1" ht="15" customHeight="1" x14ac:dyDescent="0.2">
      <c r="A88" s="212" t="s">
        <v>83</v>
      </c>
      <c r="B88" s="40"/>
      <c r="C88" s="40"/>
      <c r="D88" s="40"/>
      <c r="E88" s="27"/>
      <c r="F88" s="40"/>
      <c r="G88" s="40"/>
      <c r="H88" s="40"/>
      <c r="I88" s="40"/>
      <c r="J88" s="27"/>
      <c r="K88" s="40"/>
      <c r="L88" s="27"/>
      <c r="M88" s="40"/>
      <c r="N88" s="40"/>
      <c r="O88" s="40"/>
      <c r="P88" s="40"/>
      <c r="Q88" s="27"/>
      <c r="R88" s="40"/>
      <c r="S88" s="27"/>
      <c r="T88" s="27"/>
      <c r="U88" s="40"/>
      <c r="V88" s="40"/>
      <c r="W88" s="40"/>
      <c r="X88" s="27"/>
      <c r="Y88" s="40"/>
      <c r="Z88" s="39"/>
      <c r="AA88" s="40"/>
      <c r="AB88" s="40"/>
      <c r="AC88" s="40"/>
      <c r="AD88" s="40"/>
      <c r="AE88" s="27"/>
      <c r="AF88" s="40"/>
      <c r="AG88" s="205" t="str">
        <f t="shared" si="34"/>
        <v>Work-related accident</v>
      </c>
      <c r="AH88" s="218"/>
      <c r="AI88" s="238">
        <f t="shared" si="32"/>
        <v>0</v>
      </c>
      <c r="AJ88" s="261"/>
      <c r="AK88" s="262"/>
      <c r="AL88" s="245">
        <f ca="1">IF(EB.Anwendung&lt;&gt;"",IF(MONTH(Monat.Tag1)=1,0,IF(MONTH(Monat.Tag1)=2,January!Monat.BUUeVM,IF(MONTH(Monat.Tag1)=3,February!Monat.BUUeVM,IF(MONTH(Monat.Tag1)=4,March!Monat.BUUeVM,IF(MONTH(Monat.Tag1)=5,April!Monat.BUUeVM,IF(MONTH(Monat.Tag1)=6,May!Monat.BUUeVM,IF(MONTH(Monat.Tag1)=7,June!Monat.BUUeVM,IF(MONTH(Monat.Tag1)=8,July!Monat.BUUeVM,IF(MONTH(Monat.Tag1)=9,August!Monat.BUUeVM,IF(MONTH(Monat.Tag1)=10,September!Monat.BUUeVM,IF(MONTH(Monat.Tag1)=11,October!Monat.BUUeVM,IF(MONTH(Monat.Tag1)=12,November!Monat.BUUeVM,"")))))))))))),"")</f>
        <v>0</v>
      </c>
      <c r="AM88" s="209"/>
      <c r="AN88" s="246">
        <f t="shared" ca="1" si="35"/>
        <v>0</v>
      </c>
      <c r="AO88" s="208"/>
      <c r="AP88" s="208"/>
      <c r="AQ88" s="119"/>
    </row>
    <row r="89" spans="1:43" s="38" customFormat="1" ht="15" customHeight="1" x14ac:dyDescent="0.2">
      <c r="A89" s="212" t="s">
        <v>240</v>
      </c>
      <c r="B89" s="40"/>
      <c r="C89" s="40"/>
      <c r="D89" s="40"/>
      <c r="E89" s="27"/>
      <c r="F89" s="40"/>
      <c r="G89" s="40"/>
      <c r="H89" s="40"/>
      <c r="I89" s="40"/>
      <c r="J89" s="27"/>
      <c r="K89" s="40"/>
      <c r="L89" s="27"/>
      <c r="M89" s="40"/>
      <c r="N89" s="40"/>
      <c r="O89" s="40"/>
      <c r="P89" s="40"/>
      <c r="Q89" s="27"/>
      <c r="R89" s="40"/>
      <c r="S89" s="27"/>
      <c r="T89" s="27"/>
      <c r="U89" s="40"/>
      <c r="V89" s="40"/>
      <c r="W89" s="40"/>
      <c r="X89" s="27"/>
      <c r="Y89" s="40"/>
      <c r="Z89" s="39"/>
      <c r="AA89" s="40"/>
      <c r="AB89" s="40"/>
      <c r="AC89" s="40"/>
      <c r="AD89" s="40"/>
      <c r="AE89" s="27"/>
      <c r="AF89" s="40"/>
      <c r="AG89" s="205" t="str">
        <f t="shared" si="34"/>
        <v>Non-work-related accident</v>
      </c>
      <c r="AH89" s="218"/>
      <c r="AI89" s="238">
        <f t="shared" si="32"/>
        <v>0</v>
      </c>
      <c r="AJ89" s="261"/>
      <c r="AK89" s="262"/>
      <c r="AL89" s="245">
        <f ca="1">IF(EB.Anwendung&lt;&gt;"",IF(MONTH(Monat.Tag1)=1,0,IF(MONTH(Monat.Tag1)=2,January!Monat.NBUUeVM,IF(MONTH(Monat.Tag1)=3,February!Monat.NBUUeVM,IF(MONTH(Monat.Tag1)=4,March!Monat.NBUUeVM,IF(MONTH(Monat.Tag1)=5,April!Monat.NBUUeVM,IF(MONTH(Monat.Tag1)=6,May!Monat.NBUUeVM,IF(MONTH(Monat.Tag1)=7,June!Monat.NBUUeVM,IF(MONTH(Monat.Tag1)=8,July!Monat.NBUUeVM,IF(MONTH(Monat.Tag1)=9,August!Monat.NBUUeVM,IF(MONTH(Monat.Tag1)=10,September!Monat.NBUUeVM,IF(MONTH(Monat.Tag1)=11,October!Monat.NBUUeVM,IF(MONTH(Monat.Tag1)=12,November!Monat.NBUUeVM,"")))))))))))),"")</f>
        <v>0</v>
      </c>
      <c r="AM89" s="209"/>
      <c r="AN89" s="246">
        <f t="shared" ca="1" si="35"/>
        <v>0</v>
      </c>
      <c r="AO89" s="208"/>
      <c r="AP89" s="208"/>
      <c r="AQ89" s="119"/>
    </row>
    <row r="90" spans="1:43" s="38" customFormat="1" ht="15" customHeight="1" x14ac:dyDescent="0.2">
      <c r="A90" s="212" t="s">
        <v>84</v>
      </c>
      <c r="B90" s="40"/>
      <c r="C90" s="40"/>
      <c r="D90" s="40"/>
      <c r="E90" s="27"/>
      <c r="F90" s="40"/>
      <c r="G90" s="40"/>
      <c r="H90" s="40"/>
      <c r="I90" s="40"/>
      <c r="J90" s="27"/>
      <c r="K90" s="40"/>
      <c r="L90" s="27"/>
      <c r="M90" s="40"/>
      <c r="N90" s="40"/>
      <c r="O90" s="40"/>
      <c r="P90" s="40"/>
      <c r="Q90" s="27"/>
      <c r="R90" s="40"/>
      <c r="S90" s="27"/>
      <c r="T90" s="27"/>
      <c r="U90" s="40"/>
      <c r="V90" s="40"/>
      <c r="W90" s="40"/>
      <c r="X90" s="27"/>
      <c r="Y90" s="40"/>
      <c r="Z90" s="39"/>
      <c r="AA90" s="40"/>
      <c r="AB90" s="40"/>
      <c r="AC90" s="40"/>
      <c r="AD90" s="40"/>
      <c r="AE90" s="27"/>
      <c r="AF90" s="40"/>
      <c r="AG90" s="205" t="str">
        <f t="shared" si="34"/>
        <v>Military/civilian service</v>
      </c>
      <c r="AH90" s="218"/>
      <c r="AI90" s="238">
        <f t="shared" si="32"/>
        <v>0</v>
      </c>
      <c r="AJ90" s="261"/>
      <c r="AK90" s="262"/>
      <c r="AL90" s="245">
        <f ca="1">IF(EB.Anwendung&lt;&gt;"",IF(MONTH(Monat.Tag1)=1,0,IF(MONTH(Monat.Tag1)=2,January!Monat.MZSUeVM,IF(MONTH(Monat.Tag1)=3,February!Monat.MZSUeVM,IF(MONTH(Monat.Tag1)=4,March!Monat.MZSUeVM,IF(MONTH(Monat.Tag1)=5,April!Monat.MZSUeVM,IF(MONTH(Monat.Tag1)=6,May!Monat.MZSUeVM,IF(MONTH(Monat.Tag1)=7,June!Monat.MZSUeVM,IF(MONTH(Monat.Tag1)=8,July!Monat.MZSUeVM,IF(MONTH(Monat.Tag1)=9,August!Monat.MZSUeVM,IF(MONTH(Monat.Tag1)=10,September!Monat.MZSUeVM,IF(MONTH(Monat.Tag1)=11,October!Monat.MZSUeVM,IF(MONTH(Monat.Tag1)=12,November!Monat.MZSUeVM,"")))))))))))),"")</f>
        <v>0</v>
      </c>
      <c r="AM90" s="209"/>
      <c r="AN90" s="246">
        <f t="shared" ca="1" si="35"/>
        <v>0</v>
      </c>
      <c r="AO90" s="208"/>
      <c r="AP90" s="208"/>
      <c r="AQ90" s="119"/>
    </row>
    <row r="91" spans="1:43" s="38" customFormat="1" ht="15" customHeight="1" x14ac:dyDescent="0.2">
      <c r="A91" s="212" t="s">
        <v>85</v>
      </c>
      <c r="B91" s="40"/>
      <c r="C91" s="40"/>
      <c r="D91" s="40"/>
      <c r="E91" s="27"/>
      <c r="F91" s="40"/>
      <c r="G91" s="40"/>
      <c r="H91" s="40"/>
      <c r="I91" s="40"/>
      <c r="J91" s="27"/>
      <c r="K91" s="40"/>
      <c r="L91" s="27"/>
      <c r="M91" s="40"/>
      <c r="N91" s="40"/>
      <c r="O91" s="40"/>
      <c r="P91" s="40"/>
      <c r="Q91" s="27"/>
      <c r="R91" s="40"/>
      <c r="S91" s="27"/>
      <c r="T91" s="27"/>
      <c r="U91" s="40"/>
      <c r="V91" s="40"/>
      <c r="W91" s="40"/>
      <c r="X91" s="27"/>
      <c r="Y91" s="40"/>
      <c r="Z91" s="39"/>
      <c r="AA91" s="40"/>
      <c r="AB91" s="40"/>
      <c r="AC91" s="40"/>
      <c r="AD91" s="40"/>
      <c r="AE91" s="27"/>
      <c r="AF91" s="40"/>
      <c r="AG91" s="205" t="str">
        <f t="shared" si="34"/>
        <v>Continuing education</v>
      </c>
      <c r="AH91" s="218"/>
      <c r="AI91" s="238">
        <f t="shared" si="32"/>
        <v>0</v>
      </c>
      <c r="AJ91" s="261"/>
      <c r="AK91" s="262"/>
      <c r="AL91" s="245">
        <f ca="1">IF(EB.Anwendung&lt;&gt;"",IF(MONTH(Monat.Tag1)=1,0,IF(MONTH(Monat.Tag1)=2,January!Monat.WBUeVM,IF(MONTH(Monat.Tag1)=3,February!Monat.WBUeVM,IF(MONTH(Monat.Tag1)=4,March!Monat.WBUeVM,IF(MONTH(Monat.Tag1)=5,April!Monat.WBUeVM,IF(MONTH(Monat.Tag1)=6,May!Monat.WBUeVM,IF(MONTH(Monat.Tag1)=7,June!Monat.WBUeVM,IF(MONTH(Monat.Tag1)=8,July!Monat.WBUeVM,IF(MONTH(Monat.Tag1)=9,August!Monat.WBUeVM,IF(MONTH(Monat.Tag1)=10,September!Monat.WBUeVM,IF(MONTH(Monat.Tag1)=11,October!Monat.WBUeVM,IF(MONTH(Monat.Tag1)=12,November!Monat.WBUeVM,"")))))))))))),"")</f>
        <v>0</v>
      </c>
      <c r="AM91" s="209"/>
      <c r="AN91" s="246">
        <f t="shared" ca="1" si="35"/>
        <v>0</v>
      </c>
      <c r="AO91" s="208"/>
      <c r="AP91" s="208"/>
      <c r="AQ91" s="119"/>
    </row>
    <row r="92" spans="1:43" s="38" customFormat="1" ht="15" customHeight="1" x14ac:dyDescent="0.2">
      <c r="A92" s="212" t="s">
        <v>86</v>
      </c>
      <c r="B92" s="40"/>
      <c r="C92" s="40"/>
      <c r="D92" s="40"/>
      <c r="E92" s="27"/>
      <c r="F92" s="40"/>
      <c r="G92" s="40"/>
      <c r="H92" s="40"/>
      <c r="I92" s="40"/>
      <c r="J92" s="27"/>
      <c r="K92" s="40"/>
      <c r="L92" s="27"/>
      <c r="M92" s="40"/>
      <c r="N92" s="40"/>
      <c r="O92" s="40"/>
      <c r="P92" s="40"/>
      <c r="Q92" s="27"/>
      <c r="R92" s="40"/>
      <c r="S92" s="27"/>
      <c r="T92" s="27"/>
      <c r="U92" s="40"/>
      <c r="V92" s="40"/>
      <c r="W92" s="40"/>
      <c r="X92" s="27"/>
      <c r="Y92" s="40"/>
      <c r="Z92" s="39"/>
      <c r="AA92" s="40"/>
      <c r="AB92" s="40"/>
      <c r="AC92" s="40"/>
      <c r="AD92" s="40"/>
      <c r="AE92" s="27"/>
      <c r="AF92" s="40"/>
      <c r="AG92" s="205" t="str">
        <f t="shared" si="34"/>
        <v>Paid leave</v>
      </c>
      <c r="AH92" s="218"/>
      <c r="AI92" s="238">
        <f t="shared" si="32"/>
        <v>0</v>
      </c>
      <c r="AJ92" s="261"/>
      <c r="AK92" s="262"/>
      <c r="AL92" s="245">
        <f ca="1">IF(EB.Anwendung&lt;&gt;"",IF(MONTH(Monat.Tag1)=1,0,IF(MONTH(Monat.Tag1)=2,January!Monat.BesUrlaubUeVM,IF(MONTH(Monat.Tag1)=3,February!Monat.BesUrlaubUeVM,IF(MONTH(Monat.Tag1)=4,March!Monat.BesUrlaubUeVM,IF(MONTH(Monat.Tag1)=5,April!Monat.BesUrlaubUeVM,IF(MONTH(Monat.Tag1)=6,May!Monat.BesUrlaubUeVM,IF(MONTH(Monat.Tag1)=7,June!Monat.BesUrlaubUeVM,IF(MONTH(Monat.Tag1)=8,July!Monat.BesUrlaubUeVM,IF(MONTH(Monat.Tag1)=9,August!Monat.BesUrlaubUeVM,IF(MONTH(Monat.Tag1)=10,September!Monat.BesUrlaubUeVM,IF(MONTH(Monat.Tag1)=11,October!Monat.BesUrlaubUeVM,IF(MONTH(Monat.Tag1)=12,November!Monat.BesUrlaubUeVM,"")))))))))))),"")</f>
        <v>0</v>
      </c>
      <c r="AM92" s="209"/>
      <c r="AN92" s="246">
        <f t="shared" ca="1" si="35"/>
        <v>0</v>
      </c>
      <c r="AO92" s="208"/>
      <c r="AP92" s="208"/>
      <c r="AQ92" s="119"/>
    </row>
    <row r="93" spans="1:43" s="38" customFormat="1" ht="15" customHeight="1" x14ac:dyDescent="0.2">
      <c r="A93" s="212" t="s">
        <v>87</v>
      </c>
      <c r="B93" s="40"/>
      <c r="C93" s="40"/>
      <c r="D93" s="40"/>
      <c r="E93" s="27"/>
      <c r="F93" s="40"/>
      <c r="G93" s="40"/>
      <c r="H93" s="40"/>
      <c r="I93" s="40"/>
      <c r="J93" s="27"/>
      <c r="K93" s="40"/>
      <c r="L93" s="27"/>
      <c r="M93" s="40"/>
      <c r="N93" s="40"/>
      <c r="O93" s="40"/>
      <c r="P93" s="40"/>
      <c r="Q93" s="27"/>
      <c r="R93" s="40"/>
      <c r="S93" s="27"/>
      <c r="T93" s="27"/>
      <c r="U93" s="40"/>
      <c r="V93" s="40"/>
      <c r="W93" s="40"/>
      <c r="X93" s="27"/>
      <c r="Y93" s="40"/>
      <c r="Z93" s="39"/>
      <c r="AA93" s="40"/>
      <c r="AB93" s="40"/>
      <c r="AC93" s="40"/>
      <c r="AD93" s="40"/>
      <c r="AE93" s="27"/>
      <c r="AF93" s="40"/>
      <c r="AG93" s="205" t="str">
        <f t="shared" si="34"/>
        <v>Unpaid leave</v>
      </c>
      <c r="AH93" s="218"/>
      <c r="AI93" s="238">
        <f t="shared" si="32"/>
        <v>0</v>
      </c>
      <c r="AJ93" s="261"/>
      <c r="AK93" s="262"/>
      <c r="AL93" s="245">
        <f ca="1">IF(EB.Anwendung&lt;&gt;"",IF(MONTH(Monat.Tag1)=1,0,IF(MONTH(Monat.Tag1)=2,January!Monat.UnbesUrlaubUeVM,IF(MONTH(Monat.Tag1)=3,February!Monat.UnbesUrlaubUeVM,IF(MONTH(Monat.Tag1)=4,March!Monat.UnbesUrlaubUeVM,IF(MONTH(Monat.Tag1)=5,April!Monat.UnbesUrlaubUeVM,IF(MONTH(Monat.Tag1)=6,May!Monat.UnbesUrlaubUeVM,IF(MONTH(Monat.Tag1)=7,June!Monat.UnbesUrlaubUeVM,IF(MONTH(Monat.Tag1)=8,July!Monat.UnbesUrlaubUeVM,IF(MONTH(Monat.Tag1)=9,August!Monat.UnbesUrlaubUeVM,IF(MONTH(Monat.Tag1)=10,September!Monat.UnbesUrlaubUeVM,IF(MONTH(Monat.Tag1)=11,October!Monat.UnbesUrlaubUeVM,IF(MONTH(Monat.Tag1)=12,November!Monat.UnbesUrlaubUeVM,"")))))))))))),"")</f>
        <v>0</v>
      </c>
      <c r="AM93" s="209"/>
      <c r="AN93" s="246">
        <f t="shared" ca="1" si="35"/>
        <v>0</v>
      </c>
      <c r="AO93" s="208"/>
      <c r="AP93" s="208"/>
      <c r="AQ93" s="119"/>
    </row>
    <row r="94" spans="1:43" s="38" customFormat="1" ht="15" hidden="1" customHeight="1" outlineLevel="1" x14ac:dyDescent="0.2">
      <c r="A94" s="212" t="s">
        <v>120</v>
      </c>
      <c r="B94" s="40"/>
      <c r="C94" s="40"/>
      <c r="D94" s="40"/>
      <c r="E94" s="27"/>
      <c r="F94" s="40"/>
      <c r="G94" s="40"/>
      <c r="H94" s="40"/>
      <c r="I94" s="40"/>
      <c r="J94" s="27"/>
      <c r="K94" s="40"/>
      <c r="L94" s="27"/>
      <c r="M94" s="40"/>
      <c r="N94" s="40"/>
      <c r="O94" s="40"/>
      <c r="P94" s="40"/>
      <c r="Q94" s="27"/>
      <c r="R94" s="40"/>
      <c r="S94" s="27"/>
      <c r="T94" s="27"/>
      <c r="U94" s="40"/>
      <c r="V94" s="40"/>
      <c r="W94" s="40"/>
      <c r="X94" s="27"/>
      <c r="Y94" s="40"/>
      <c r="Z94" s="39"/>
      <c r="AA94" s="40"/>
      <c r="AB94" s="40"/>
      <c r="AC94" s="40"/>
      <c r="AD94" s="40"/>
      <c r="AE94" s="27"/>
      <c r="AF94" s="40"/>
      <c r="AG94" s="205" t="str">
        <f t="shared" si="34"/>
        <v>Secondary employment</v>
      </c>
      <c r="AH94" s="218"/>
      <c r="AI94" s="238">
        <f t="shared" si="32"/>
        <v>0</v>
      </c>
      <c r="AJ94" s="261"/>
      <c r="AK94" s="262"/>
      <c r="AL94" s="245">
        <f ca="1">IF(EB.Anwendung&lt;&gt;"",IF(MONTH(Monat.Tag1)=1,0,IF(MONTH(Monat.Tag1)=2,January!Monat.NBUeVM,IF(MONTH(Monat.Tag1)=3,February!Monat.NBUeVM,IF(MONTH(Monat.Tag1)=4,March!Monat.NBUeVM,IF(MONTH(Monat.Tag1)=5,April!Monat.NBUeVM,IF(MONTH(Monat.Tag1)=6,May!Monat.NBUeVM,IF(MONTH(Monat.Tag1)=7,June!Monat.NBUeVM,IF(MONTH(Monat.Tag1)=8,July!Monat.NBUeVM,IF(MONTH(Monat.Tag1)=9,August!Monat.NBUeVM,IF(MONTH(Monat.Tag1)=10,September!Monat.NBUeVM,IF(MONTH(Monat.Tag1)=11,October!Monat.NBUeVM,IF(MONTH(Monat.Tag1)=12,November!Monat.NBUeVM,"")))))))))))),"")</f>
        <v>0</v>
      </c>
      <c r="AM94" s="209"/>
      <c r="AN94" s="246">
        <f t="shared" ca="1" si="35"/>
        <v>0</v>
      </c>
      <c r="AO94" s="208"/>
      <c r="AP94" s="208"/>
      <c r="AQ94" s="119"/>
    </row>
    <row r="95" spans="1:43" s="38" customFormat="1" ht="15" customHeight="1" collapsed="1" x14ac:dyDescent="0.2">
      <c r="A95" s="212" t="s">
        <v>56</v>
      </c>
      <c r="B95" s="40"/>
      <c r="C95" s="40"/>
      <c r="D95" s="40"/>
      <c r="E95" s="27"/>
      <c r="F95" s="40"/>
      <c r="G95" s="40"/>
      <c r="H95" s="40"/>
      <c r="I95" s="40"/>
      <c r="J95" s="27"/>
      <c r="K95" s="40"/>
      <c r="L95" s="27"/>
      <c r="M95" s="40"/>
      <c r="N95" s="40"/>
      <c r="O95" s="40"/>
      <c r="P95" s="40"/>
      <c r="Q95" s="27"/>
      <c r="R95" s="40"/>
      <c r="S95" s="27"/>
      <c r="T95" s="27"/>
      <c r="U95" s="40"/>
      <c r="V95" s="40"/>
      <c r="W95" s="40"/>
      <c r="X95" s="27"/>
      <c r="Y95" s="40"/>
      <c r="Z95" s="39"/>
      <c r="AA95" s="40"/>
      <c r="AB95" s="40"/>
      <c r="AC95" s="40"/>
      <c r="AD95" s="40"/>
      <c r="AE95" s="27"/>
      <c r="AF95" s="40"/>
      <c r="AG95" s="205" t="str">
        <f t="shared" si="34"/>
        <v>Seniority allowance</v>
      </c>
      <c r="AH95" s="218"/>
      <c r="AI95" s="238">
        <f t="shared" si="32"/>
        <v>0</v>
      </c>
      <c r="AJ95" s="261"/>
      <c r="AK95" s="262"/>
      <c r="AL95" s="245">
        <f ca="1">IF(EB.Anwendung&lt;&gt;"",IF(MONTH(Monat.Tag1)=1,EB.DAG,IF(MONTH(Monat.Tag1)=2,January!Monat.DAGUeVM,IF(MONTH(Monat.Tag1)=3,February!Monat.DAGUeVM,IF(MONTH(Monat.Tag1)=4,March!Monat.DAGUeVM,IF(MONTH(Monat.Tag1)=5,April!Monat.DAGUeVM,IF(MONTH(Monat.Tag1)=6,May!Monat.DAGUeVM,IF(MONTH(Monat.Tag1)=7,June!Monat.DAGUeVM,IF(MONTH(Monat.Tag1)=8,July!Monat.DAGUeVM,IF(MONTH(Monat.Tag1)=9,August!Monat.DAGUeVM,IF(MONTH(Monat.Tag1)=10,September!Monat.DAGUeVM,IF(MONTH(Monat.Tag1)=11,October!Monat.DAGUeVM,IF(MONTH(Monat.Tag1)=12,November!Monat.DAGUeVM,"")))))))))))),"")</f>
        <v>0</v>
      </c>
      <c r="AM95" s="209"/>
      <c r="AN95" s="246">
        <f ca="1">AL95-AI95</f>
        <v>0</v>
      </c>
      <c r="AO95" s="208"/>
      <c r="AP95" s="208"/>
      <c r="AQ95" s="119"/>
    </row>
    <row r="96" spans="1:43" s="38" customFormat="1" ht="11.25" customHeight="1" x14ac:dyDescent="0.2">
      <c r="A96" s="220"/>
      <c r="B96" s="223"/>
      <c r="C96" s="223"/>
      <c r="D96" s="223"/>
      <c r="E96" s="223"/>
      <c r="F96" s="223"/>
      <c r="G96" s="223"/>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23"/>
      <c r="AF96" s="224"/>
      <c r="AG96" s="205"/>
      <c r="AH96" s="228"/>
      <c r="AI96" s="224"/>
      <c r="AJ96" s="278"/>
      <c r="AK96" s="262"/>
      <c r="AL96" s="262"/>
      <c r="AM96" s="209"/>
      <c r="AN96" s="279"/>
      <c r="AO96" s="213"/>
      <c r="AP96" s="213"/>
      <c r="AQ96" s="119"/>
    </row>
    <row r="97" spans="1:43" s="38" customFormat="1" ht="15" customHeight="1" x14ac:dyDescent="0.2">
      <c r="A97" s="215" t="str">
        <f t="shared" ref="A97:A111" ca="1" si="36">IF(ROW(A97)-ROW(INDEX(Monat.Projekte.Zeilen,1))+1&gt;EB.AnzProjekte,"",OFFSET(EB.Projekte.Knoten,ROW(A97)-ROW(INDEX(Monat.Projekte.Zeilen,1))+1,0,1,1))</f>
        <v/>
      </c>
      <c r="B97" s="40"/>
      <c r="C97" s="40"/>
      <c r="D97" s="40"/>
      <c r="E97" s="27"/>
      <c r="F97" s="40"/>
      <c r="G97" s="40"/>
      <c r="H97" s="40"/>
      <c r="I97" s="40"/>
      <c r="J97" s="27"/>
      <c r="K97" s="40"/>
      <c r="L97" s="27"/>
      <c r="M97" s="40"/>
      <c r="N97" s="40"/>
      <c r="O97" s="40"/>
      <c r="P97" s="40"/>
      <c r="Q97" s="27"/>
      <c r="R97" s="40"/>
      <c r="S97" s="27"/>
      <c r="T97" s="27"/>
      <c r="U97" s="40"/>
      <c r="V97" s="40"/>
      <c r="W97" s="40"/>
      <c r="X97" s="27"/>
      <c r="Y97" s="40"/>
      <c r="Z97" s="39"/>
      <c r="AA97" s="40"/>
      <c r="AB97" s="40"/>
      <c r="AC97" s="40"/>
      <c r="AD97" s="40"/>
      <c r="AE97" s="27"/>
      <c r="AF97" s="40"/>
      <c r="AG97" s="205" t="str">
        <f t="shared" ca="1" si="34"/>
        <v/>
      </c>
      <c r="AH97" s="233"/>
      <c r="AI97" s="285">
        <f>SUM(B97:AF97)</f>
        <v>0</v>
      </c>
      <c r="AJ97" s="261"/>
      <c r="AK97" s="224"/>
      <c r="AL97" s="245">
        <f ca="1">IF(EB.Anwendung&lt;&gt;"",IF(MONTH(Monat.Tag1)=1,0,IF(MONTH(Monat.Tag1)=2,January!Monat.P1UeVM,IF(MONTH(Monat.Tag1)=3,February!Monat.P1UeVM,IF(MONTH(Monat.Tag1)=4,March!Monat.P1UeVM,IF(MONTH(Monat.Tag1)=5,April!Monat.P1UeVM,IF(MONTH(Monat.Tag1)=6,May!Monat.P1UeVM,IF(MONTH(Monat.Tag1)=7,June!Monat.P1UeVM,IF(MONTH(Monat.Tag1)=8,July!Monat.P1UeVM,IF(MONTH(Monat.Tag1)=9,August!Monat.P1UeVM,IF(MONTH(Monat.Tag1)=10,September!Monat.P1UeVM,IF(MONTH(Monat.Tag1)=11,October!Monat.P1UeVM,IF(MONTH(Monat.Tag1)=12,November!Monat.P1UeVM,"")))))))))))),"")</f>
        <v>0</v>
      </c>
      <c r="AM97" s="209"/>
      <c r="AN97" s="246">
        <f t="shared" ref="AN97:AN112" ca="1" si="37">AI97+AL97</f>
        <v>0</v>
      </c>
      <c r="AO97" s="208"/>
      <c r="AP97" s="208"/>
      <c r="AQ97" s="119"/>
    </row>
    <row r="98" spans="1:43" s="38" customFormat="1" ht="15" customHeight="1" x14ac:dyDescent="0.2">
      <c r="A98" s="215" t="str">
        <f t="shared" ca="1" si="36"/>
        <v/>
      </c>
      <c r="B98" s="40"/>
      <c r="C98" s="40"/>
      <c r="D98" s="40"/>
      <c r="E98" s="27"/>
      <c r="F98" s="40"/>
      <c r="G98" s="40"/>
      <c r="H98" s="40"/>
      <c r="I98" s="40"/>
      <c r="J98" s="27"/>
      <c r="K98" s="40"/>
      <c r="L98" s="27"/>
      <c r="M98" s="40"/>
      <c r="N98" s="40"/>
      <c r="O98" s="40"/>
      <c r="P98" s="40"/>
      <c r="Q98" s="27"/>
      <c r="R98" s="40"/>
      <c r="S98" s="27"/>
      <c r="T98" s="27"/>
      <c r="U98" s="40"/>
      <c r="V98" s="40"/>
      <c r="W98" s="40"/>
      <c r="X98" s="27"/>
      <c r="Y98" s="40"/>
      <c r="Z98" s="39"/>
      <c r="AA98" s="40"/>
      <c r="AB98" s="40"/>
      <c r="AC98" s="40"/>
      <c r="AD98" s="40"/>
      <c r="AE98" s="27"/>
      <c r="AF98" s="40"/>
      <c r="AG98" s="205" t="str">
        <f t="shared" ca="1" si="34"/>
        <v/>
      </c>
      <c r="AH98" s="218"/>
      <c r="AI98" s="238">
        <f>SUM(B98:AF98)</f>
        <v>0</v>
      </c>
      <c r="AJ98" s="261"/>
      <c r="AK98" s="224"/>
      <c r="AL98" s="245">
        <f ca="1">IF(EB.Anwendung&lt;&gt;"",IF(MONTH(Monat.Tag1)=1,0,IF(MONTH(Monat.Tag1)=2,January!Monat.P2UeVM,IF(MONTH(Monat.Tag1)=3,February!Monat.P2UeVM,IF(MONTH(Monat.Tag1)=4,March!Monat.P2UeVM,IF(MONTH(Monat.Tag1)=5,April!Monat.P2UeVM,IF(MONTH(Monat.Tag1)=6,May!Monat.P2UeVM,IF(MONTH(Monat.Tag1)=7,June!Monat.P2UeVM,IF(MONTH(Monat.Tag1)=8,July!Monat.P2UeVM,IF(MONTH(Monat.Tag1)=9,August!Monat.P2UeVM,IF(MONTH(Monat.Tag1)=10,September!Monat.P2UeVM,IF(MONTH(Monat.Tag1)=11,October!Monat.P2UeVM,IF(MONTH(Monat.Tag1)=12,November!Monat.P2UeVM,"")))))))))))),"")</f>
        <v>0</v>
      </c>
      <c r="AM98" s="209"/>
      <c r="AN98" s="246">
        <f t="shared" ca="1" si="37"/>
        <v>0</v>
      </c>
      <c r="AO98" s="208"/>
      <c r="AP98" s="208"/>
      <c r="AQ98" s="119"/>
    </row>
    <row r="99" spans="1:43" s="38" customFormat="1" ht="15" customHeight="1" x14ac:dyDescent="0.2">
      <c r="A99" s="215" t="str">
        <f t="shared" ca="1" si="36"/>
        <v/>
      </c>
      <c r="B99" s="40"/>
      <c r="C99" s="40"/>
      <c r="D99" s="40"/>
      <c r="E99" s="27"/>
      <c r="F99" s="40"/>
      <c r="G99" s="40"/>
      <c r="H99" s="40"/>
      <c r="I99" s="40"/>
      <c r="J99" s="27"/>
      <c r="K99" s="40"/>
      <c r="L99" s="27"/>
      <c r="M99" s="40"/>
      <c r="N99" s="40"/>
      <c r="O99" s="40"/>
      <c r="P99" s="40"/>
      <c r="Q99" s="27"/>
      <c r="R99" s="40"/>
      <c r="S99" s="27"/>
      <c r="T99" s="27"/>
      <c r="U99" s="40"/>
      <c r="V99" s="40"/>
      <c r="W99" s="40"/>
      <c r="X99" s="27"/>
      <c r="Y99" s="40"/>
      <c r="Z99" s="39"/>
      <c r="AA99" s="40"/>
      <c r="AB99" s="40"/>
      <c r="AC99" s="40"/>
      <c r="AD99" s="40"/>
      <c r="AE99" s="27"/>
      <c r="AF99" s="40"/>
      <c r="AG99" s="205" t="str">
        <f t="shared" ca="1" si="34"/>
        <v/>
      </c>
      <c r="AH99" s="286"/>
      <c r="AI99" s="238">
        <f>SUM(B99:AF99)</f>
        <v>0</v>
      </c>
      <c r="AJ99" s="261"/>
      <c r="AK99" s="224"/>
      <c r="AL99" s="245">
        <f ca="1">IF(EB.Anwendung&lt;&gt;"",IF(MONTH(Monat.Tag1)=1,0,IF(MONTH(Monat.Tag1)=2,January!Monat.P3UeVM,IF(MONTH(Monat.Tag1)=3,February!Monat.P3UeVM,IF(MONTH(Monat.Tag1)=4,March!Monat.P3UeVM,IF(MONTH(Monat.Tag1)=5,April!Monat.P3UeVM,IF(MONTH(Monat.Tag1)=6,May!Monat.P3UeVM,IF(MONTH(Monat.Tag1)=7,June!Monat.P3UeVM,IF(MONTH(Monat.Tag1)=8,July!Monat.P3UeVM,IF(MONTH(Monat.Tag1)=9,August!Monat.P3UeVM,IF(MONTH(Monat.Tag1)=10,September!Monat.P3UeVM,IF(MONTH(Monat.Tag1)=11,October!Monat.P3UeVM,IF(MONTH(Monat.Tag1)=12,November!Monat.P3UeVM,"")))))))))))),"")</f>
        <v>0</v>
      </c>
      <c r="AM99" s="209"/>
      <c r="AN99" s="246">
        <f t="shared" ca="1" si="37"/>
        <v>0</v>
      </c>
      <c r="AO99" s="208"/>
      <c r="AP99" s="208"/>
      <c r="AQ99" s="119"/>
    </row>
    <row r="100" spans="1:43" s="38" customFormat="1" ht="15" customHeight="1" x14ac:dyDescent="0.2">
      <c r="A100" s="215" t="str">
        <f t="shared" ca="1" si="36"/>
        <v/>
      </c>
      <c r="B100" s="40"/>
      <c r="C100" s="40"/>
      <c r="D100" s="40"/>
      <c r="E100" s="27"/>
      <c r="F100" s="40"/>
      <c r="G100" s="40"/>
      <c r="H100" s="40"/>
      <c r="I100" s="40"/>
      <c r="J100" s="27"/>
      <c r="K100" s="40"/>
      <c r="L100" s="27"/>
      <c r="M100" s="40"/>
      <c r="N100" s="40"/>
      <c r="O100" s="40"/>
      <c r="P100" s="40"/>
      <c r="Q100" s="27"/>
      <c r="R100" s="40"/>
      <c r="S100" s="27"/>
      <c r="T100" s="27"/>
      <c r="U100" s="40"/>
      <c r="V100" s="40"/>
      <c r="W100" s="40"/>
      <c r="X100" s="27"/>
      <c r="Y100" s="40"/>
      <c r="Z100" s="39"/>
      <c r="AA100" s="40"/>
      <c r="AB100" s="40"/>
      <c r="AC100" s="40"/>
      <c r="AD100" s="40"/>
      <c r="AE100" s="27"/>
      <c r="AF100" s="40"/>
      <c r="AG100" s="205" t="str">
        <f t="shared" ca="1" si="34"/>
        <v/>
      </c>
      <c r="AH100" s="228"/>
      <c r="AI100" s="238">
        <f t="shared" ref="AI100:AI112" si="38">SUM(B100:AF100)</f>
        <v>0</v>
      </c>
      <c r="AJ100" s="261"/>
      <c r="AK100" s="224"/>
      <c r="AL100" s="245">
        <f ca="1">IF(EB.Anwendung&lt;&gt;"",IF(MONTH(Monat.Tag1)=1,0,IF(MONTH(Monat.Tag1)=2,January!Monat.P4UeVM,IF(MONTH(Monat.Tag1)=3,February!Monat.P4UeVM,IF(MONTH(Monat.Tag1)=4,March!Monat.P4UeVM,IF(MONTH(Monat.Tag1)=5,April!Monat.P4UeVM,IF(MONTH(Monat.Tag1)=6,May!Monat.P4UeVM,IF(MONTH(Monat.Tag1)=7,June!Monat.P4UeVM,IF(MONTH(Monat.Tag1)=8,July!Monat.P4UeVM,IF(MONTH(Monat.Tag1)=9,August!Monat.P4UeVM,IF(MONTH(Monat.Tag1)=10,September!Monat.P4UeVM,IF(MONTH(Monat.Tag1)=11,October!Monat.P4UeVM,IF(MONTH(Monat.Tag1)=12,November!Monat.P4UeVM,"")))))))))))),"")</f>
        <v>0</v>
      </c>
      <c r="AM100" s="209"/>
      <c r="AN100" s="246">
        <f t="shared" ca="1" si="37"/>
        <v>0</v>
      </c>
      <c r="AO100" s="208"/>
      <c r="AP100" s="208"/>
      <c r="AQ100" s="119"/>
    </row>
    <row r="101" spans="1:43" s="38" customFormat="1" ht="15" customHeight="1" x14ac:dyDescent="0.2">
      <c r="A101" s="215" t="str">
        <f t="shared" ca="1" si="36"/>
        <v/>
      </c>
      <c r="B101" s="40"/>
      <c r="C101" s="40"/>
      <c r="D101" s="40"/>
      <c r="E101" s="27"/>
      <c r="F101" s="40"/>
      <c r="G101" s="40"/>
      <c r="H101" s="40"/>
      <c r="I101" s="40"/>
      <c r="J101" s="27"/>
      <c r="K101" s="40"/>
      <c r="L101" s="27"/>
      <c r="M101" s="40"/>
      <c r="N101" s="40"/>
      <c r="O101" s="40"/>
      <c r="P101" s="40"/>
      <c r="Q101" s="27"/>
      <c r="R101" s="40"/>
      <c r="S101" s="27"/>
      <c r="T101" s="27"/>
      <c r="U101" s="40"/>
      <c r="V101" s="40"/>
      <c r="W101" s="40"/>
      <c r="X101" s="27"/>
      <c r="Y101" s="40"/>
      <c r="Z101" s="39"/>
      <c r="AA101" s="40"/>
      <c r="AB101" s="40"/>
      <c r="AC101" s="40"/>
      <c r="AD101" s="40"/>
      <c r="AE101" s="27"/>
      <c r="AF101" s="40"/>
      <c r="AG101" s="205" t="str">
        <f t="shared" ca="1" si="34"/>
        <v/>
      </c>
      <c r="AH101" s="218"/>
      <c r="AI101" s="238">
        <f t="shared" si="38"/>
        <v>0</v>
      </c>
      <c r="AJ101" s="261"/>
      <c r="AK101" s="224"/>
      <c r="AL101" s="245">
        <f ca="1">IF(EB.Anwendung&lt;&gt;"",IF(MONTH(Monat.Tag1)=1,0,IF(MONTH(Monat.Tag1)=2,January!Monat.P5UeVM,IF(MONTH(Monat.Tag1)=3,February!Monat.P5UeVM,IF(MONTH(Monat.Tag1)=4,March!Monat.P5UeVM,IF(MONTH(Monat.Tag1)=5,April!Monat.P5UeVM,IF(MONTH(Monat.Tag1)=6,May!Monat.P5UeVM,IF(MONTH(Monat.Tag1)=7,June!Monat.P5UeVM,IF(MONTH(Monat.Tag1)=8,July!Monat.P5UeVM,IF(MONTH(Monat.Tag1)=9,August!Monat.P5UeVM,IF(MONTH(Monat.Tag1)=10,September!Monat.P5UeVM,IF(MONTH(Monat.Tag1)=11,October!Monat.P5UeVM,IF(MONTH(Monat.Tag1)=12,November!Monat.P5UeVM,"")))))))))))),"")</f>
        <v>0</v>
      </c>
      <c r="AM101" s="209"/>
      <c r="AN101" s="246">
        <f t="shared" ca="1" si="37"/>
        <v>0</v>
      </c>
      <c r="AO101" s="208"/>
      <c r="AP101" s="208"/>
      <c r="AQ101" s="119"/>
    </row>
    <row r="102" spans="1:43" s="38" customFormat="1" ht="15" hidden="1" customHeight="1" outlineLevel="1" x14ac:dyDescent="0.2">
      <c r="A102" s="215" t="str">
        <f t="shared" ca="1" si="36"/>
        <v/>
      </c>
      <c r="B102" s="40"/>
      <c r="C102" s="40"/>
      <c r="D102" s="40"/>
      <c r="E102" s="27"/>
      <c r="F102" s="40"/>
      <c r="G102" s="40"/>
      <c r="H102" s="40"/>
      <c r="I102" s="40"/>
      <c r="J102" s="27"/>
      <c r="K102" s="40"/>
      <c r="L102" s="27"/>
      <c r="M102" s="40"/>
      <c r="N102" s="40"/>
      <c r="O102" s="40"/>
      <c r="P102" s="40"/>
      <c r="Q102" s="27"/>
      <c r="R102" s="40"/>
      <c r="S102" s="27"/>
      <c r="T102" s="27"/>
      <c r="U102" s="40"/>
      <c r="V102" s="40"/>
      <c r="W102" s="40"/>
      <c r="X102" s="27"/>
      <c r="Y102" s="40"/>
      <c r="Z102" s="39"/>
      <c r="AA102" s="40"/>
      <c r="AB102" s="40"/>
      <c r="AC102" s="40"/>
      <c r="AD102" s="40"/>
      <c r="AE102" s="27"/>
      <c r="AF102" s="40"/>
      <c r="AG102" s="205" t="str">
        <f t="shared" ca="1" si="34"/>
        <v/>
      </c>
      <c r="AH102" s="286"/>
      <c r="AI102" s="238">
        <f t="shared" si="38"/>
        <v>0</v>
      </c>
      <c r="AJ102" s="261"/>
      <c r="AK102" s="224"/>
      <c r="AL102" s="245">
        <f ca="1">IF(EB.Anwendung&lt;&gt;"",IF(MONTH(Monat.Tag1)=1,0,IF(MONTH(Monat.Tag1)=2,January!Monat.P6UeVM,IF(MONTH(Monat.Tag1)=3,February!Monat.P6UeVM,IF(MONTH(Monat.Tag1)=4,March!Monat.P6UeVM,IF(MONTH(Monat.Tag1)=5,April!Monat.P6UeVM,IF(MONTH(Monat.Tag1)=6,May!Monat.P6UeVM,IF(MONTH(Monat.Tag1)=7,June!Monat.P6UeVM,IF(MONTH(Monat.Tag1)=8,July!Monat.P6UeVM,IF(MONTH(Monat.Tag1)=9,August!Monat.P6UeVM,IF(MONTH(Monat.Tag1)=10,September!Monat.P6UeVM,IF(MONTH(Monat.Tag1)=11,October!Monat.P6UeVM,IF(MONTH(Monat.Tag1)=12,November!Monat.P6UeVM,"")))))))))))),"")</f>
        <v>0</v>
      </c>
      <c r="AM102" s="209"/>
      <c r="AN102" s="246">
        <f t="shared" ca="1" si="37"/>
        <v>0</v>
      </c>
      <c r="AO102" s="208"/>
      <c r="AP102" s="208"/>
      <c r="AQ102" s="119"/>
    </row>
    <row r="103" spans="1:43" s="38" customFormat="1" ht="15" hidden="1" customHeight="1" outlineLevel="1" x14ac:dyDescent="0.2">
      <c r="A103" s="215" t="str">
        <f t="shared" ca="1" si="36"/>
        <v/>
      </c>
      <c r="B103" s="40"/>
      <c r="C103" s="40"/>
      <c r="D103" s="40"/>
      <c r="E103" s="27"/>
      <c r="F103" s="40"/>
      <c r="G103" s="40"/>
      <c r="H103" s="40"/>
      <c r="I103" s="40"/>
      <c r="J103" s="27"/>
      <c r="K103" s="40"/>
      <c r="L103" s="27"/>
      <c r="M103" s="40"/>
      <c r="N103" s="40"/>
      <c r="O103" s="40"/>
      <c r="P103" s="40"/>
      <c r="Q103" s="27"/>
      <c r="R103" s="40"/>
      <c r="S103" s="27"/>
      <c r="T103" s="27"/>
      <c r="U103" s="40"/>
      <c r="V103" s="40"/>
      <c r="W103" s="40"/>
      <c r="X103" s="27"/>
      <c r="Y103" s="40"/>
      <c r="Z103" s="39"/>
      <c r="AA103" s="40"/>
      <c r="AB103" s="40"/>
      <c r="AC103" s="40"/>
      <c r="AD103" s="40"/>
      <c r="AE103" s="27"/>
      <c r="AF103" s="40"/>
      <c r="AG103" s="205" t="str">
        <f ca="1">A103</f>
        <v/>
      </c>
      <c r="AH103" s="228"/>
      <c r="AI103" s="238">
        <f>SUM(B103:AF103)</f>
        <v>0</v>
      </c>
      <c r="AJ103" s="261"/>
      <c r="AK103" s="224"/>
      <c r="AL103" s="245">
        <f ca="1">IF(EB.Anwendung&lt;&gt;"",IF(MONTH(Monat.Tag1)=1,0,IF(MONTH(Monat.Tag1)=2,January!Monat.P7UeVM,IF(MONTH(Monat.Tag1)=3,February!Monat.P7UeVM,IF(MONTH(Monat.Tag1)=4,March!Monat.P7UeVM,IF(MONTH(Monat.Tag1)=5,April!Monat.P7UeVM,IF(MONTH(Monat.Tag1)=6,May!Monat.P7UeVM,IF(MONTH(Monat.Tag1)=7,June!Monat.P7UeVM,IF(MONTH(Monat.Tag1)=8,July!Monat.P7UeVM,IF(MONTH(Monat.Tag1)=9,August!Monat.P7UeVM,IF(MONTH(Monat.Tag1)=10,September!Monat.P7UeVM,IF(MONTH(Monat.Tag1)=11,October!Monat.P7UeVM,IF(MONTH(Monat.Tag1)=12,November!Monat.P7UeVM,"")))))))))))),"")</f>
        <v>0</v>
      </c>
      <c r="AM103" s="209"/>
      <c r="AN103" s="246">
        <f t="shared" ca="1" si="37"/>
        <v>0</v>
      </c>
      <c r="AO103" s="208"/>
      <c r="AP103" s="208"/>
      <c r="AQ103" s="119"/>
    </row>
    <row r="104" spans="1:43" s="38" customFormat="1" ht="15" hidden="1" customHeight="1" outlineLevel="1" x14ac:dyDescent="0.2">
      <c r="A104" s="215" t="str">
        <f t="shared" ca="1" si="36"/>
        <v/>
      </c>
      <c r="B104" s="40"/>
      <c r="C104" s="40"/>
      <c r="D104" s="40"/>
      <c r="E104" s="27"/>
      <c r="F104" s="40"/>
      <c r="G104" s="40"/>
      <c r="H104" s="40"/>
      <c r="I104" s="40"/>
      <c r="J104" s="27"/>
      <c r="K104" s="40"/>
      <c r="L104" s="27"/>
      <c r="M104" s="40"/>
      <c r="N104" s="40"/>
      <c r="O104" s="40"/>
      <c r="P104" s="40"/>
      <c r="Q104" s="27"/>
      <c r="R104" s="40"/>
      <c r="S104" s="27"/>
      <c r="T104" s="27"/>
      <c r="U104" s="40"/>
      <c r="V104" s="40"/>
      <c r="W104" s="40"/>
      <c r="X104" s="27"/>
      <c r="Y104" s="40"/>
      <c r="Z104" s="39"/>
      <c r="AA104" s="40"/>
      <c r="AB104" s="40"/>
      <c r="AC104" s="40"/>
      <c r="AD104" s="40"/>
      <c r="AE104" s="27"/>
      <c r="AF104" s="40"/>
      <c r="AG104" s="205" t="str">
        <f t="shared" ca="1" si="34"/>
        <v/>
      </c>
      <c r="AH104" s="233"/>
      <c r="AI104" s="238">
        <f t="shared" si="38"/>
        <v>0</v>
      </c>
      <c r="AJ104" s="261"/>
      <c r="AK104" s="224"/>
      <c r="AL104" s="245">
        <f ca="1">IF(EB.Anwendung&lt;&gt;"",IF(MONTH(Monat.Tag1)=1,0,IF(MONTH(Monat.Tag1)=2,January!Monat.P8UeVM,IF(MONTH(Monat.Tag1)=3,February!Monat.P8UeVM,IF(MONTH(Monat.Tag1)=4,March!Monat.P8UeVM,IF(MONTH(Monat.Tag1)=5,April!Monat.P8UeVM,IF(MONTH(Monat.Tag1)=6,May!Monat.P8UeVM,IF(MONTH(Monat.Tag1)=7,June!Monat.P8UeVM,IF(MONTH(Monat.Tag1)=8,July!Monat.P8UeVM,IF(MONTH(Monat.Tag1)=9,August!Monat.P8UeVM,IF(MONTH(Monat.Tag1)=10,September!Monat.P8UeVM,IF(MONTH(Monat.Tag1)=11,October!Monat.P8UeVM,IF(MONTH(Monat.Tag1)=12,November!Monat.P8UeVM,"")))))))))))),"")</f>
        <v>0</v>
      </c>
      <c r="AM104" s="209"/>
      <c r="AN104" s="246">
        <f t="shared" ca="1" si="37"/>
        <v>0</v>
      </c>
      <c r="AO104" s="208"/>
      <c r="AP104" s="208"/>
      <c r="AQ104" s="119"/>
    </row>
    <row r="105" spans="1:43" s="38" customFormat="1" ht="15" hidden="1" customHeight="1" outlineLevel="1" x14ac:dyDescent="0.2">
      <c r="A105" s="215" t="str">
        <f t="shared" ca="1" si="36"/>
        <v/>
      </c>
      <c r="B105" s="40"/>
      <c r="C105" s="40"/>
      <c r="D105" s="40"/>
      <c r="E105" s="27"/>
      <c r="F105" s="40"/>
      <c r="G105" s="40"/>
      <c r="H105" s="40"/>
      <c r="I105" s="40"/>
      <c r="J105" s="27"/>
      <c r="K105" s="40"/>
      <c r="L105" s="27"/>
      <c r="M105" s="40"/>
      <c r="N105" s="40"/>
      <c r="O105" s="40"/>
      <c r="P105" s="40"/>
      <c r="Q105" s="27"/>
      <c r="R105" s="40"/>
      <c r="S105" s="27"/>
      <c r="T105" s="27"/>
      <c r="U105" s="40"/>
      <c r="V105" s="40"/>
      <c r="W105" s="40"/>
      <c r="X105" s="27"/>
      <c r="Y105" s="40"/>
      <c r="Z105" s="39"/>
      <c r="AA105" s="40"/>
      <c r="AB105" s="40"/>
      <c r="AC105" s="40"/>
      <c r="AD105" s="40"/>
      <c r="AE105" s="27"/>
      <c r="AF105" s="40"/>
      <c r="AG105" s="205" t="str">
        <f t="shared" ca="1" si="34"/>
        <v/>
      </c>
      <c r="AH105" s="218"/>
      <c r="AI105" s="238">
        <f t="shared" si="38"/>
        <v>0</v>
      </c>
      <c r="AJ105" s="261"/>
      <c r="AK105" s="224"/>
      <c r="AL105" s="245">
        <f ca="1">IF(EB.Anwendung&lt;&gt;"",IF(MONTH(Monat.Tag1)=1,0,IF(MONTH(Monat.Tag1)=2,January!Monat.P9UeVM,IF(MONTH(Monat.Tag1)=3,February!Monat.P9UeVM,IF(MONTH(Monat.Tag1)=4,March!Monat.P9UeVM,IF(MONTH(Monat.Tag1)=5,April!Monat.P9UeVM,IF(MONTH(Monat.Tag1)=6,May!Monat.P9UeVM,IF(MONTH(Monat.Tag1)=7,June!Monat.P9UeVM,IF(MONTH(Monat.Tag1)=8,July!Monat.P9UeVM,IF(MONTH(Monat.Tag1)=9,August!Monat.P9UeVM,IF(MONTH(Monat.Tag1)=10,September!Monat.P9UeVM,IF(MONTH(Monat.Tag1)=11,October!Monat.P9UeVM,IF(MONTH(Monat.Tag1)=12,November!Monat.P9UeVM,"")))))))))))),"")</f>
        <v>0</v>
      </c>
      <c r="AM105" s="209"/>
      <c r="AN105" s="246">
        <f t="shared" ca="1" si="37"/>
        <v>0</v>
      </c>
      <c r="AO105" s="208"/>
      <c r="AP105" s="208"/>
      <c r="AQ105" s="119"/>
    </row>
    <row r="106" spans="1:43" s="38" customFormat="1" ht="15" hidden="1" customHeight="1" outlineLevel="1" x14ac:dyDescent="0.2">
      <c r="A106" s="215" t="str">
        <f t="shared" ca="1" si="36"/>
        <v/>
      </c>
      <c r="B106" s="40"/>
      <c r="C106" s="40"/>
      <c r="D106" s="40"/>
      <c r="E106" s="27"/>
      <c r="F106" s="40"/>
      <c r="G106" s="40"/>
      <c r="H106" s="40"/>
      <c r="I106" s="40"/>
      <c r="J106" s="27"/>
      <c r="K106" s="40"/>
      <c r="L106" s="27"/>
      <c r="M106" s="40"/>
      <c r="N106" s="40"/>
      <c r="O106" s="40"/>
      <c r="P106" s="40"/>
      <c r="Q106" s="27"/>
      <c r="R106" s="40"/>
      <c r="S106" s="27"/>
      <c r="T106" s="27"/>
      <c r="U106" s="40"/>
      <c r="V106" s="40"/>
      <c r="W106" s="40"/>
      <c r="X106" s="27"/>
      <c r="Y106" s="40"/>
      <c r="Z106" s="39"/>
      <c r="AA106" s="40"/>
      <c r="AB106" s="40"/>
      <c r="AC106" s="40"/>
      <c r="AD106" s="40"/>
      <c r="AE106" s="27"/>
      <c r="AF106" s="40"/>
      <c r="AG106" s="205" t="str">
        <f t="shared" ca="1" si="34"/>
        <v/>
      </c>
      <c r="AH106" s="218"/>
      <c r="AI106" s="238">
        <f t="shared" si="38"/>
        <v>0</v>
      </c>
      <c r="AJ106" s="261"/>
      <c r="AK106" s="224"/>
      <c r="AL106" s="245">
        <f ca="1">IF(EB.Anwendung&lt;&gt;"",IF(MONTH(Monat.Tag1)=1,0,IF(MONTH(Monat.Tag1)=2,January!Monat.P10UeVM,IF(MONTH(Monat.Tag1)=3,February!Monat.P10UeVM,IF(MONTH(Monat.Tag1)=4,March!Monat.P10UeVM,IF(MONTH(Monat.Tag1)=5,April!Monat.P10UeVM,IF(MONTH(Monat.Tag1)=6,May!Monat.P10UeVM,IF(MONTH(Monat.Tag1)=7,June!Monat.P10UeVM,IF(MONTH(Monat.Tag1)=8,July!Monat.P10UeVM,IF(MONTH(Monat.Tag1)=9,August!Monat.P10UeVM,IF(MONTH(Monat.Tag1)=10,September!Monat.P10UeVM,IF(MONTH(Monat.Tag1)=11,October!Monat.P10UeVM,IF(MONTH(Monat.Tag1)=12,November!Monat.P10UeVM,"")))))))))))),"")</f>
        <v>0</v>
      </c>
      <c r="AM106" s="209"/>
      <c r="AN106" s="246">
        <f t="shared" ca="1" si="37"/>
        <v>0</v>
      </c>
      <c r="AO106" s="208"/>
      <c r="AP106" s="208"/>
      <c r="AQ106" s="119"/>
    </row>
    <row r="107" spans="1:43" s="38" customFormat="1" ht="15" hidden="1" customHeight="1" outlineLevel="1" x14ac:dyDescent="0.2">
      <c r="A107" s="215" t="str">
        <f t="shared" ca="1" si="36"/>
        <v/>
      </c>
      <c r="B107" s="40"/>
      <c r="C107" s="40"/>
      <c r="D107" s="40"/>
      <c r="E107" s="27"/>
      <c r="F107" s="40"/>
      <c r="G107" s="40"/>
      <c r="H107" s="40"/>
      <c r="I107" s="40"/>
      <c r="J107" s="27"/>
      <c r="K107" s="40"/>
      <c r="L107" s="27"/>
      <c r="M107" s="40"/>
      <c r="N107" s="40"/>
      <c r="O107" s="40"/>
      <c r="P107" s="40"/>
      <c r="Q107" s="27"/>
      <c r="R107" s="40"/>
      <c r="S107" s="27"/>
      <c r="T107" s="27"/>
      <c r="U107" s="40"/>
      <c r="V107" s="40"/>
      <c r="W107" s="40"/>
      <c r="X107" s="27"/>
      <c r="Y107" s="40"/>
      <c r="Z107" s="39"/>
      <c r="AA107" s="40"/>
      <c r="AB107" s="40"/>
      <c r="AC107" s="40"/>
      <c r="AD107" s="40"/>
      <c r="AE107" s="27"/>
      <c r="AF107" s="40"/>
      <c r="AG107" s="205" t="str">
        <f ca="1">A107</f>
        <v/>
      </c>
      <c r="AH107" s="233"/>
      <c r="AI107" s="238">
        <f t="shared" si="38"/>
        <v>0</v>
      </c>
      <c r="AJ107" s="261"/>
      <c r="AK107" s="224"/>
      <c r="AL107" s="245">
        <f ca="1">IF(EB.Anwendung&lt;&gt;"",IF(MONTH(Monat.Tag1)=1,0,IF(MONTH(Monat.Tag1)=2,January!Monat.P11UeVM,IF(MONTH(Monat.Tag1)=3,February!Monat.P11UeVM,IF(MONTH(Monat.Tag1)=4,March!Monat.P11UeVM,IF(MONTH(Monat.Tag1)=5,April!Monat.P11UeVM,IF(MONTH(Monat.Tag1)=6,May!Monat.P11UeVM,IF(MONTH(Monat.Tag1)=7,June!Monat.P11UeVM,IF(MONTH(Monat.Tag1)=8,July!Monat.P11UeVM,IF(MONTH(Monat.Tag1)=9,August!Monat.P11UeVM,IF(MONTH(Monat.Tag1)=10,September!Monat.P11UeVM,IF(MONTH(Monat.Tag1)=11,October!Monat.P11UeVM,IF(MONTH(Monat.Tag1)=12,November!Monat.P11UeVM,"")))))))))))),"")</f>
        <v>0</v>
      </c>
      <c r="AM107" s="209"/>
      <c r="AN107" s="246">
        <f t="shared" ca="1" si="37"/>
        <v>0</v>
      </c>
      <c r="AO107" s="287"/>
      <c r="AP107" s="287"/>
      <c r="AQ107" s="119"/>
    </row>
    <row r="108" spans="1:43" s="49" customFormat="1" ht="15" hidden="1" customHeight="1" outlineLevel="1" x14ac:dyDescent="0.2">
      <c r="A108" s="215" t="str">
        <f t="shared" ca="1" si="36"/>
        <v/>
      </c>
      <c r="B108" s="40"/>
      <c r="C108" s="40"/>
      <c r="D108" s="40"/>
      <c r="E108" s="27"/>
      <c r="F108" s="40"/>
      <c r="G108" s="40"/>
      <c r="H108" s="40"/>
      <c r="I108" s="40"/>
      <c r="J108" s="27"/>
      <c r="K108" s="40"/>
      <c r="L108" s="27"/>
      <c r="M108" s="40"/>
      <c r="N108" s="40"/>
      <c r="O108" s="40"/>
      <c r="P108" s="40"/>
      <c r="Q108" s="27"/>
      <c r="R108" s="40"/>
      <c r="S108" s="27"/>
      <c r="T108" s="27"/>
      <c r="U108" s="40"/>
      <c r="V108" s="40"/>
      <c r="W108" s="40"/>
      <c r="X108" s="27"/>
      <c r="Y108" s="40"/>
      <c r="Z108" s="39"/>
      <c r="AA108" s="40"/>
      <c r="AB108" s="40"/>
      <c r="AC108" s="40"/>
      <c r="AD108" s="40"/>
      <c r="AE108" s="27"/>
      <c r="AF108" s="40"/>
      <c r="AG108" s="205" t="str">
        <f t="shared" ca="1" si="34"/>
        <v/>
      </c>
      <c r="AH108" s="233"/>
      <c r="AI108" s="238">
        <f t="shared" si="38"/>
        <v>0</v>
      </c>
      <c r="AJ108" s="261"/>
      <c r="AK108" s="224"/>
      <c r="AL108" s="245">
        <f ca="1">IF(EB.Anwendung&lt;&gt;"",IF(MONTH(Monat.Tag1)=1,0,IF(MONTH(Monat.Tag1)=2,January!Monat.P12UeVM,IF(MONTH(Monat.Tag1)=3,February!Monat.P12UeVM,IF(MONTH(Monat.Tag1)=4,March!Monat.P12UeVM,IF(MONTH(Monat.Tag1)=5,April!Monat.P12UeVM,IF(MONTH(Monat.Tag1)=6,May!Monat.P12UeVM,IF(MONTH(Monat.Tag1)=7,June!Monat.P12UeVM,IF(MONTH(Monat.Tag1)=8,July!Monat.P12UeVM,IF(MONTH(Monat.Tag1)=9,August!Monat.P12UeVM,IF(MONTH(Monat.Tag1)=10,September!Monat.P12UeVM,IF(MONTH(Monat.Tag1)=11,October!Monat.P12UeVM,IF(MONTH(Monat.Tag1)=12,November!Monat.P12UeVM,"")))))))))))),"")</f>
        <v>0</v>
      </c>
      <c r="AM108" s="209"/>
      <c r="AN108" s="246">
        <f t="shared" ca="1" si="37"/>
        <v>0</v>
      </c>
      <c r="AO108" s="287"/>
      <c r="AP108" s="287"/>
      <c r="AQ108" s="288"/>
    </row>
    <row r="109" spans="1:43" s="49" customFormat="1" ht="15" hidden="1" customHeight="1" outlineLevel="1" x14ac:dyDescent="0.2">
      <c r="A109" s="215" t="str">
        <f t="shared" ca="1" si="36"/>
        <v/>
      </c>
      <c r="B109" s="40"/>
      <c r="C109" s="40"/>
      <c r="D109" s="40"/>
      <c r="E109" s="27"/>
      <c r="F109" s="40"/>
      <c r="G109" s="40"/>
      <c r="H109" s="40"/>
      <c r="I109" s="40"/>
      <c r="J109" s="27"/>
      <c r="K109" s="40"/>
      <c r="L109" s="27"/>
      <c r="M109" s="40"/>
      <c r="N109" s="40"/>
      <c r="O109" s="40"/>
      <c r="P109" s="40"/>
      <c r="Q109" s="27"/>
      <c r="R109" s="40"/>
      <c r="S109" s="27"/>
      <c r="T109" s="27"/>
      <c r="U109" s="40"/>
      <c r="V109" s="40"/>
      <c r="W109" s="40"/>
      <c r="X109" s="27"/>
      <c r="Y109" s="40"/>
      <c r="Z109" s="39"/>
      <c r="AA109" s="40"/>
      <c r="AB109" s="40"/>
      <c r="AC109" s="40"/>
      <c r="AD109" s="40"/>
      <c r="AE109" s="27"/>
      <c r="AF109" s="40"/>
      <c r="AG109" s="205" t="str">
        <f t="shared" ca="1" si="34"/>
        <v/>
      </c>
      <c r="AH109" s="218"/>
      <c r="AI109" s="238">
        <f t="shared" si="38"/>
        <v>0</v>
      </c>
      <c r="AJ109" s="261"/>
      <c r="AK109" s="224"/>
      <c r="AL109" s="245">
        <f ca="1">IF(EB.Anwendung&lt;&gt;"",IF(MONTH(Monat.Tag1)=1,0,IF(MONTH(Monat.Tag1)=2,January!Monat.P13UeVM,IF(MONTH(Monat.Tag1)=3,February!Monat.P13UeVM,IF(MONTH(Monat.Tag1)=4,March!Monat.P13UeVM,IF(MONTH(Monat.Tag1)=5,April!Monat.P13UeVM,IF(MONTH(Monat.Tag1)=6,May!Monat.P13UeVM,IF(MONTH(Monat.Tag1)=7,June!Monat.P13UeVM,IF(MONTH(Monat.Tag1)=8,July!Monat.P13UeVM,IF(MONTH(Monat.Tag1)=9,August!Monat.P13UeVM,IF(MONTH(Monat.Tag1)=10,September!Monat.P13UeVM,IF(MONTH(Monat.Tag1)=11,October!Monat.P13UeVM,IF(MONTH(Monat.Tag1)=12,November!Monat.P13UeVM,"")))))))))))),"")</f>
        <v>0</v>
      </c>
      <c r="AM109" s="209"/>
      <c r="AN109" s="246">
        <f t="shared" ca="1" si="37"/>
        <v>0</v>
      </c>
      <c r="AO109" s="287"/>
      <c r="AP109" s="287"/>
      <c r="AQ109" s="288"/>
    </row>
    <row r="110" spans="1:43" ht="15" hidden="1" customHeight="1" outlineLevel="1" x14ac:dyDescent="0.2">
      <c r="A110" s="215" t="str">
        <f t="shared" ca="1" si="36"/>
        <v/>
      </c>
      <c r="B110" s="40"/>
      <c r="C110" s="40"/>
      <c r="D110" s="40"/>
      <c r="E110" s="27"/>
      <c r="F110" s="40"/>
      <c r="G110" s="40"/>
      <c r="H110" s="40"/>
      <c r="I110" s="40"/>
      <c r="J110" s="27"/>
      <c r="K110" s="40"/>
      <c r="L110" s="27"/>
      <c r="M110" s="40"/>
      <c r="N110" s="40"/>
      <c r="O110" s="40"/>
      <c r="P110" s="40"/>
      <c r="Q110" s="27"/>
      <c r="R110" s="40"/>
      <c r="S110" s="27"/>
      <c r="T110" s="27"/>
      <c r="U110" s="40"/>
      <c r="V110" s="40"/>
      <c r="W110" s="40"/>
      <c r="X110" s="27"/>
      <c r="Y110" s="40"/>
      <c r="Z110" s="39"/>
      <c r="AA110" s="40"/>
      <c r="AB110" s="40"/>
      <c r="AC110" s="40"/>
      <c r="AD110" s="40"/>
      <c r="AE110" s="27"/>
      <c r="AF110" s="40"/>
      <c r="AG110" s="205" t="str">
        <f t="shared" ca="1" si="34"/>
        <v/>
      </c>
      <c r="AH110" s="218"/>
      <c r="AI110" s="238">
        <f t="shared" si="38"/>
        <v>0</v>
      </c>
      <c r="AJ110" s="261"/>
      <c r="AK110" s="224"/>
      <c r="AL110" s="245">
        <f ca="1">IF(EB.Anwendung&lt;&gt;"",IF(MONTH(Monat.Tag1)=1,0,IF(MONTH(Monat.Tag1)=2,January!Monat.P14UeVM,IF(MONTH(Monat.Tag1)=3,February!Monat.P14UeVM,IF(MONTH(Monat.Tag1)=4,March!Monat.P14UeVM,IF(MONTH(Monat.Tag1)=5,April!Monat.P14UeVM,IF(MONTH(Monat.Tag1)=6,May!Monat.P14UeVM,IF(MONTH(Monat.Tag1)=7,June!Monat.P14UeVM,IF(MONTH(Monat.Tag1)=8,July!Monat.P14UeVM,IF(MONTH(Monat.Tag1)=9,August!Monat.P14UeVM,IF(MONTH(Monat.Tag1)=10,September!Monat.P14UeVM,IF(MONTH(Monat.Tag1)=11,October!Monat.P14UeVM,IF(MONTH(Monat.Tag1)=12,November!Monat.P14UeVM,"")))))))))))),"")</f>
        <v>0</v>
      </c>
      <c r="AM110" s="209"/>
      <c r="AN110" s="246">
        <f t="shared" ca="1" si="37"/>
        <v>0</v>
      </c>
      <c r="AO110" s="287"/>
      <c r="AP110" s="287"/>
      <c r="AQ110" s="123"/>
    </row>
    <row r="111" spans="1:43" ht="15" hidden="1" customHeight="1" outlineLevel="1" x14ac:dyDescent="0.2">
      <c r="A111" s="215" t="str">
        <f t="shared" ca="1" si="36"/>
        <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7"/>
      <c r="AA111" s="40"/>
      <c r="AB111" s="40"/>
      <c r="AC111" s="40"/>
      <c r="AD111" s="40"/>
      <c r="AE111" s="40"/>
      <c r="AF111" s="40"/>
      <c r="AG111" s="205" t="str">
        <f t="shared" ca="1" si="34"/>
        <v/>
      </c>
      <c r="AH111" s="218"/>
      <c r="AI111" s="238">
        <f t="shared" si="38"/>
        <v>0</v>
      </c>
      <c r="AJ111" s="261"/>
      <c r="AK111" s="224"/>
      <c r="AL111" s="245">
        <f ca="1">IF(EB.Anwendung&lt;&gt;"",IF(MONTH(Monat.Tag1)=1,0,IF(MONTH(Monat.Tag1)=2,January!Monat.P15UeVM,IF(MONTH(Monat.Tag1)=3,February!Monat.P15UeVM,IF(MONTH(Monat.Tag1)=4,March!Monat.P15UeVM,IF(MONTH(Monat.Tag1)=5,April!Monat.P15UeVM,IF(MONTH(Monat.Tag1)=6,May!Monat.P15UeVM,IF(MONTH(Monat.Tag1)=7,June!Monat.P15UeVM,IF(MONTH(Monat.Tag1)=8,July!Monat.P15UeVM,IF(MONTH(Monat.Tag1)=9,August!Monat.P15UeVM,IF(MONTH(Monat.Tag1)=10,September!Monat.P15UeVM,IF(MONTH(Monat.Tag1)=11,October!Monat.P15UeVM,IF(MONTH(Monat.Tag1)=12,November!Monat.P15UeVM,"")))))))))))),"")</f>
        <v>0</v>
      </c>
      <c r="AM111" s="209"/>
      <c r="AN111" s="246">
        <f t="shared" ca="1" si="37"/>
        <v>0</v>
      </c>
      <c r="AO111" s="287"/>
      <c r="AP111" s="287"/>
      <c r="AQ111" s="123"/>
    </row>
    <row r="112" spans="1:43" ht="15" customHeight="1" collapsed="1" x14ac:dyDescent="0.2">
      <c r="A112" s="215" t="s">
        <v>168</v>
      </c>
      <c r="B112" s="236">
        <f>SUM(B97:B111)</f>
        <v>0</v>
      </c>
      <c r="C112" s="236">
        <f t="shared" ref="C112:AF112" si="39">SUM(C97:C111)</f>
        <v>0</v>
      </c>
      <c r="D112" s="236">
        <f t="shared" si="39"/>
        <v>0</v>
      </c>
      <c r="E112" s="236">
        <f t="shared" si="39"/>
        <v>0</v>
      </c>
      <c r="F112" s="236">
        <f t="shared" si="39"/>
        <v>0</v>
      </c>
      <c r="G112" s="236">
        <f t="shared" si="39"/>
        <v>0</v>
      </c>
      <c r="H112" s="236">
        <f t="shared" si="39"/>
        <v>0</v>
      </c>
      <c r="I112" s="236">
        <f t="shared" si="39"/>
        <v>0</v>
      </c>
      <c r="J112" s="236">
        <f t="shared" si="39"/>
        <v>0</v>
      </c>
      <c r="K112" s="236">
        <f t="shared" si="39"/>
        <v>0</v>
      </c>
      <c r="L112" s="236">
        <f t="shared" si="39"/>
        <v>0</v>
      </c>
      <c r="M112" s="236">
        <f t="shared" si="39"/>
        <v>0</v>
      </c>
      <c r="N112" s="236">
        <f t="shared" si="39"/>
        <v>0</v>
      </c>
      <c r="O112" s="236">
        <f t="shared" si="39"/>
        <v>0</v>
      </c>
      <c r="P112" s="236">
        <f t="shared" si="39"/>
        <v>0</v>
      </c>
      <c r="Q112" s="236">
        <f t="shared" si="39"/>
        <v>0</v>
      </c>
      <c r="R112" s="236">
        <f t="shared" si="39"/>
        <v>0</v>
      </c>
      <c r="S112" s="236">
        <f t="shared" si="39"/>
        <v>0</v>
      </c>
      <c r="T112" s="236">
        <f t="shared" si="39"/>
        <v>0</v>
      </c>
      <c r="U112" s="236">
        <f t="shared" si="39"/>
        <v>0</v>
      </c>
      <c r="V112" s="236">
        <f t="shared" si="39"/>
        <v>0</v>
      </c>
      <c r="W112" s="236">
        <f t="shared" si="39"/>
        <v>0</v>
      </c>
      <c r="X112" s="236">
        <f t="shared" si="39"/>
        <v>0</v>
      </c>
      <c r="Y112" s="236">
        <f t="shared" si="39"/>
        <v>0</v>
      </c>
      <c r="Z112" s="236">
        <f t="shared" si="39"/>
        <v>0</v>
      </c>
      <c r="AA112" s="236">
        <f t="shared" si="39"/>
        <v>0</v>
      </c>
      <c r="AB112" s="236">
        <f t="shared" si="39"/>
        <v>0</v>
      </c>
      <c r="AC112" s="236">
        <f t="shared" si="39"/>
        <v>0</v>
      </c>
      <c r="AD112" s="236">
        <f t="shared" si="39"/>
        <v>0</v>
      </c>
      <c r="AE112" s="236">
        <f t="shared" si="39"/>
        <v>0</v>
      </c>
      <c r="AF112" s="236">
        <f t="shared" si="39"/>
        <v>0</v>
      </c>
      <c r="AG112" s="217" t="str">
        <f t="shared" si="34"/>
        <v>Hours worked for projects</v>
      </c>
      <c r="AH112" s="218"/>
      <c r="AI112" s="238">
        <f t="shared" si="38"/>
        <v>0</v>
      </c>
      <c r="AJ112" s="261"/>
      <c r="AK112" s="224"/>
      <c r="AL112" s="245">
        <f ca="1">IF(EB.Anwendung&lt;&gt;"",IF(MONTH(Monat.Tag1)=1,0,IF(MONTH(Monat.Tag1)=2,January!Monat.PTotalUeVM,IF(MONTH(Monat.Tag1)=3,February!Monat.PTotalUeVM,IF(MONTH(Monat.Tag1)=4,March!Monat.PTotalUeVM,IF(MONTH(Monat.Tag1)=5,April!Monat.PTotalUeVM,IF(MONTH(Monat.Tag1)=6,May!Monat.PTotalUeVM,IF(MONTH(Monat.Tag1)=7,June!Monat.PTotalUeVM,IF(MONTH(Monat.Tag1)=8,July!Monat.PTotalUeVM,IF(MONTH(Monat.Tag1)=9,August!Monat.PTotalUeVM,IF(MONTH(Monat.Tag1)=10,September!Monat.PTotalUeVM,IF(MONTH(Monat.Tag1)=11,October!Monat.PTotalUeVM,IF(MONTH(Monat.Tag1)=12,November!Monat.PTotalUeVM,"")))))))))))),"")</f>
        <v>0</v>
      </c>
      <c r="AM112" s="209"/>
      <c r="AN112" s="246">
        <f t="shared" ca="1" si="37"/>
        <v>0</v>
      </c>
      <c r="AO112" s="289"/>
      <c r="AP112" s="289"/>
      <c r="AQ112" s="123"/>
    </row>
    <row r="113" spans="1:43" s="38" customFormat="1" ht="11.25" customHeight="1" x14ac:dyDescent="0.2">
      <c r="A113" s="290"/>
      <c r="B113" s="226"/>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91"/>
      <c r="AH113" s="286"/>
      <c r="AI113" s="226"/>
      <c r="AJ113" s="292"/>
      <c r="AK113" s="226"/>
      <c r="AL113" s="226"/>
      <c r="AM113" s="226"/>
      <c r="AN113" s="130"/>
      <c r="AO113" s="226"/>
      <c r="AP113" s="226"/>
      <c r="AQ113" s="119"/>
    </row>
    <row r="114" spans="1:43" s="38" customFormat="1" ht="15" hidden="1" customHeight="1" outlineLevel="1" x14ac:dyDescent="0.2">
      <c r="A114" s="215" t="s">
        <v>225</v>
      </c>
      <c r="B114" s="241">
        <f t="shared" ref="B114:AF114" si="40">ROUND(((B23+B45+B91)-SUMPRODUCT((B97:B111)*(EB.Projektart.Bereich=6)))*1440,0)/1440</f>
        <v>0</v>
      </c>
      <c r="C114" s="241">
        <f t="shared" si="40"/>
        <v>0</v>
      </c>
      <c r="D114" s="241">
        <f t="shared" si="40"/>
        <v>0</v>
      </c>
      <c r="E114" s="241">
        <f t="shared" si="40"/>
        <v>0</v>
      </c>
      <c r="F114" s="241">
        <f t="shared" si="40"/>
        <v>0</v>
      </c>
      <c r="G114" s="241">
        <f t="shared" si="40"/>
        <v>0</v>
      </c>
      <c r="H114" s="241">
        <f t="shared" si="40"/>
        <v>0</v>
      </c>
      <c r="I114" s="241">
        <f t="shared" si="40"/>
        <v>0</v>
      </c>
      <c r="J114" s="241">
        <f t="shared" si="40"/>
        <v>0</v>
      </c>
      <c r="K114" s="241">
        <f t="shared" si="40"/>
        <v>0</v>
      </c>
      <c r="L114" s="241">
        <f t="shared" si="40"/>
        <v>0</v>
      </c>
      <c r="M114" s="241">
        <f t="shared" si="40"/>
        <v>0</v>
      </c>
      <c r="N114" s="241">
        <f t="shared" si="40"/>
        <v>0</v>
      </c>
      <c r="O114" s="241">
        <f t="shared" si="40"/>
        <v>0</v>
      </c>
      <c r="P114" s="241">
        <f t="shared" si="40"/>
        <v>0</v>
      </c>
      <c r="Q114" s="241">
        <f t="shared" si="40"/>
        <v>0</v>
      </c>
      <c r="R114" s="241">
        <f t="shared" si="40"/>
        <v>0</v>
      </c>
      <c r="S114" s="241">
        <f t="shared" si="40"/>
        <v>0</v>
      </c>
      <c r="T114" s="241">
        <f t="shared" si="40"/>
        <v>0</v>
      </c>
      <c r="U114" s="241">
        <f t="shared" si="40"/>
        <v>0</v>
      </c>
      <c r="V114" s="241">
        <f t="shared" si="40"/>
        <v>0</v>
      </c>
      <c r="W114" s="241">
        <f t="shared" si="40"/>
        <v>0</v>
      </c>
      <c r="X114" s="241">
        <f t="shared" si="40"/>
        <v>0</v>
      </c>
      <c r="Y114" s="241">
        <f t="shared" si="40"/>
        <v>0</v>
      </c>
      <c r="Z114" s="241">
        <f t="shared" si="40"/>
        <v>0</v>
      </c>
      <c r="AA114" s="241">
        <f t="shared" si="40"/>
        <v>0</v>
      </c>
      <c r="AB114" s="241">
        <f t="shared" si="40"/>
        <v>0</v>
      </c>
      <c r="AC114" s="241">
        <f t="shared" si="40"/>
        <v>0</v>
      </c>
      <c r="AD114" s="241">
        <f t="shared" si="40"/>
        <v>0</v>
      </c>
      <c r="AE114" s="241">
        <f t="shared" si="40"/>
        <v>0</v>
      </c>
      <c r="AF114" s="241">
        <f t="shared" si="40"/>
        <v>0</v>
      </c>
      <c r="AG114" s="217" t="str">
        <f t="shared" ref="AG114" si="41">A114</f>
        <v>Difference WH-Project type 6</v>
      </c>
      <c r="AH114" s="228"/>
      <c r="AI114" s="238">
        <f>SUM(B114:AF114)</f>
        <v>0</v>
      </c>
      <c r="AJ114" s="261"/>
      <c r="AK114" s="262"/>
      <c r="AL114" s="245">
        <f ca="1">IF(EB.Anwendung&lt;&gt;"",IF(MONTH(Monat.Tag1)=1,0,IF(MONTH(Monat.Tag1)=2,January!Monat.PDiffUeVM,IF(MONTH(Monat.Tag1)=3,February!Monat.PDiffUeVM,IF(MONTH(Monat.Tag1)=4,March!Monat.PDiffUeVM,IF(MONTH(Monat.Tag1)=5,April!Monat.PDiffUeVM,IF(MONTH(Monat.Tag1)=6,May!Monat.PDiffUeVM,IF(MONTH(Monat.Tag1)=7,June!Monat.PDiffUeVM,IF(MONTH(Monat.Tag1)=8,July!Monat.PDiffUeVM,IF(MONTH(Monat.Tag1)=9,August!Monat.PDiffUeVM,IF(MONTH(Monat.Tag1)=10,September!Monat.PDiffUeVM,IF(MONTH(Monat.Tag1)=11,October!Monat.PDiffUeVM,IF(MONTH(Monat.Tag1)=12,November!Monat.PDiffUeVM,"")))))))))))),"")</f>
        <v>0</v>
      </c>
      <c r="AM114" s="262"/>
      <c r="AN114" s="246">
        <f ca="1">AI114+AL114</f>
        <v>0</v>
      </c>
      <c r="AO114" s="262"/>
      <c r="AP114" s="262"/>
      <c r="AQ114" s="119"/>
    </row>
    <row r="115" spans="1:43" ht="11.25" hidden="1" customHeight="1" outlineLevel="1" x14ac:dyDescent="0.2">
      <c r="A115" s="123"/>
      <c r="B115" s="293"/>
      <c r="C115" s="293"/>
      <c r="D115" s="293"/>
      <c r="E115" s="293"/>
      <c r="F115" s="293"/>
      <c r="G115" s="293"/>
      <c r="H115" s="293"/>
      <c r="I115" s="293"/>
      <c r="J115" s="294"/>
      <c r="K115" s="293"/>
      <c r="L115" s="293"/>
      <c r="M115" s="293"/>
      <c r="N115" s="293"/>
      <c r="O115" s="293"/>
      <c r="P115" s="293"/>
      <c r="Q115" s="293"/>
      <c r="R115" s="293"/>
      <c r="S115" s="293"/>
      <c r="T115" s="293"/>
      <c r="U115" s="293"/>
      <c r="V115" s="293"/>
      <c r="W115" s="293"/>
      <c r="X115" s="293"/>
      <c r="Y115" s="293"/>
      <c r="Z115" s="293"/>
      <c r="AA115" s="293"/>
      <c r="AB115" s="293"/>
      <c r="AC115" s="293"/>
      <c r="AD115" s="293"/>
      <c r="AE115" s="293"/>
      <c r="AF115" s="293"/>
      <c r="AG115" s="295"/>
      <c r="AH115" s="296"/>
      <c r="AI115" s="123"/>
      <c r="AJ115" s="123"/>
      <c r="AK115" s="123"/>
      <c r="AL115" s="123"/>
      <c r="AM115" s="123"/>
      <c r="AN115" s="297"/>
      <c r="AO115" s="123"/>
      <c r="AP115" s="123"/>
      <c r="AQ115" s="123"/>
    </row>
    <row r="116" spans="1:43" ht="11.25" customHeight="1" collapsed="1" x14ac:dyDescent="0.2">
      <c r="A116" s="123"/>
      <c r="B116" s="293"/>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293"/>
      <c r="AA116" s="293"/>
      <c r="AB116" s="293"/>
      <c r="AC116" s="293"/>
      <c r="AD116" s="293"/>
      <c r="AE116" s="293"/>
      <c r="AF116" s="293"/>
      <c r="AG116" s="295"/>
      <c r="AH116" s="296"/>
      <c r="AI116" s="123"/>
      <c r="AJ116" s="123"/>
      <c r="AK116" s="123"/>
      <c r="AL116" s="123"/>
      <c r="AM116" s="123"/>
      <c r="AN116" s="297"/>
      <c r="AO116" s="123"/>
      <c r="AP116" s="123"/>
      <c r="AQ116" s="123"/>
    </row>
    <row r="117" spans="1:43" ht="12" customHeight="1" x14ac:dyDescent="0.2">
      <c r="A117" s="123"/>
      <c r="B117" s="490" t="s">
        <v>226</v>
      </c>
      <c r="C117" s="490"/>
      <c r="D117" s="490"/>
      <c r="E117" s="490"/>
      <c r="F117" s="490"/>
      <c r="G117" s="490"/>
      <c r="H117" s="490"/>
      <c r="I117" s="490"/>
      <c r="J117" s="490"/>
      <c r="K117" s="490"/>
      <c r="L117" s="490"/>
      <c r="M117" s="490"/>
      <c r="N117" s="490"/>
      <c r="O117" s="490"/>
      <c r="P117" s="490"/>
      <c r="Q117" s="490"/>
      <c r="R117" s="298"/>
      <c r="S117" s="298"/>
      <c r="T117" s="298"/>
      <c r="U117" s="298"/>
      <c r="V117" s="298"/>
      <c r="W117" s="298"/>
      <c r="X117" s="298"/>
      <c r="Y117" s="298"/>
      <c r="Z117" s="298"/>
      <c r="AA117" s="298"/>
      <c r="AB117" s="298"/>
      <c r="AC117" s="298"/>
      <c r="AD117" s="298"/>
      <c r="AE117" s="298"/>
      <c r="AF117" s="298"/>
      <c r="AG117" s="299"/>
      <c r="AH117" s="300"/>
      <c r="AI117" s="298"/>
      <c r="AJ117" s="298"/>
      <c r="AK117" s="298"/>
      <c r="AL117" s="298"/>
      <c r="AM117" s="298"/>
      <c r="AN117" s="301"/>
      <c r="AO117" s="288"/>
      <c r="AP117" s="288"/>
      <c r="AQ117" s="123"/>
    </row>
    <row r="118" spans="1:43" ht="11.25" customHeight="1" x14ac:dyDescent="0.2">
      <c r="A118" s="302"/>
      <c r="B118" s="302"/>
      <c r="C118" s="302"/>
      <c r="D118" s="302"/>
      <c r="E118" s="302"/>
      <c r="F118" s="302"/>
      <c r="G118" s="302"/>
      <c r="H118" s="302"/>
      <c r="I118" s="302"/>
      <c r="J118" s="302"/>
      <c r="K118" s="302"/>
      <c r="L118" s="302"/>
      <c r="M118" s="298"/>
      <c r="N118" s="298"/>
      <c r="O118" s="298"/>
      <c r="P118" s="298"/>
      <c r="Q118" s="298"/>
      <c r="R118" s="298"/>
      <c r="S118" s="298"/>
      <c r="T118" s="298"/>
      <c r="U118" s="298"/>
      <c r="V118" s="298"/>
      <c r="W118" s="298"/>
      <c r="X118" s="298"/>
      <c r="Y118" s="298"/>
      <c r="Z118" s="298"/>
      <c r="AA118" s="298"/>
      <c r="AB118" s="298"/>
      <c r="AC118" s="298"/>
      <c r="AD118" s="298"/>
      <c r="AE118" s="298"/>
      <c r="AF118" s="298"/>
      <c r="AG118" s="298"/>
      <c r="AH118" s="298"/>
      <c r="AI118" s="298"/>
      <c r="AJ118" s="298"/>
      <c r="AK118" s="298"/>
      <c r="AL118" s="298"/>
      <c r="AM118" s="298"/>
      <c r="AN118" s="298"/>
      <c r="AO118" s="298"/>
      <c r="AP118" s="298"/>
      <c r="AQ118" s="123"/>
    </row>
    <row r="119" spans="1:43" ht="39" customHeight="1" x14ac:dyDescent="0.2">
      <c r="A119" s="135" t="s">
        <v>227</v>
      </c>
      <c r="B119" s="491"/>
      <c r="C119" s="491"/>
      <c r="D119" s="491"/>
      <c r="E119" s="491"/>
      <c r="F119" s="491"/>
      <c r="G119" s="491"/>
      <c r="H119" s="491"/>
      <c r="I119" s="491"/>
      <c r="J119" s="491"/>
      <c r="K119" s="491"/>
      <c r="L119" s="491"/>
      <c r="M119" s="491"/>
      <c r="N119" s="491"/>
      <c r="O119" s="491"/>
      <c r="P119" s="491"/>
      <c r="Q119" s="491"/>
      <c r="R119" s="298"/>
      <c r="S119" s="298"/>
      <c r="T119" s="298"/>
      <c r="U119" s="298"/>
      <c r="V119" s="298"/>
      <c r="W119" s="298"/>
      <c r="X119" s="298"/>
      <c r="Y119" s="492"/>
      <c r="Z119" s="492"/>
      <c r="AA119" s="492"/>
      <c r="AB119" s="492"/>
      <c r="AC119" s="492"/>
      <c r="AD119" s="492"/>
      <c r="AE119" s="492"/>
      <c r="AF119" s="492"/>
      <c r="AG119" s="494" t="str">
        <f ca="1">IF(AG67&lt;&gt;Monat.KomAZText,AG67 &amp; CHAR(10),"") &amp;
IF(AG84&lt;&gt;Monat.FerienText,AG84,"")</f>
        <v/>
      </c>
      <c r="AH119" s="494"/>
      <c r="AI119" s="494"/>
      <c r="AJ119" s="494"/>
      <c r="AK119" s="494"/>
      <c r="AL119" s="494"/>
      <c r="AM119" s="494"/>
      <c r="AN119" s="494"/>
      <c r="AO119" s="494"/>
      <c r="AP119" s="494"/>
      <c r="AQ119" s="123"/>
    </row>
    <row r="120" spans="1:43" ht="12" customHeight="1" x14ac:dyDescent="0.2">
      <c r="A120" s="442" t="s">
        <v>228</v>
      </c>
      <c r="B120" s="495"/>
      <c r="C120" s="495"/>
      <c r="D120" s="495"/>
      <c r="E120" s="495"/>
      <c r="F120" s="495"/>
      <c r="G120" s="495"/>
      <c r="H120" s="495"/>
      <c r="I120" s="495"/>
      <c r="J120" s="495"/>
      <c r="K120" s="495"/>
      <c r="L120" s="495"/>
      <c r="M120" s="495"/>
      <c r="N120" s="495"/>
      <c r="O120" s="495"/>
      <c r="P120" s="495"/>
      <c r="Q120" s="495"/>
      <c r="R120" s="298"/>
      <c r="S120" s="298"/>
      <c r="T120" s="496" t="s">
        <v>234</v>
      </c>
      <c r="U120" s="496"/>
      <c r="V120" s="496"/>
      <c r="W120" s="496"/>
      <c r="X120" s="496"/>
      <c r="Y120" s="493"/>
      <c r="Z120" s="493"/>
      <c r="AA120" s="493"/>
      <c r="AB120" s="493"/>
      <c r="AC120" s="493"/>
      <c r="AD120" s="493"/>
      <c r="AE120" s="493"/>
      <c r="AF120" s="493"/>
      <c r="AG120" s="494"/>
      <c r="AH120" s="494"/>
      <c r="AI120" s="494"/>
      <c r="AJ120" s="494"/>
      <c r="AK120" s="494"/>
      <c r="AL120" s="494"/>
      <c r="AM120" s="494"/>
      <c r="AN120" s="494"/>
      <c r="AO120" s="494"/>
      <c r="AP120" s="494"/>
      <c r="AQ120" s="123"/>
    </row>
    <row r="121" spans="1:43" ht="11.25" customHeight="1" x14ac:dyDescent="0.2">
      <c r="A121" s="304"/>
      <c r="B121" s="305"/>
      <c r="C121" s="305"/>
      <c r="D121" s="305"/>
      <c r="E121" s="305"/>
      <c r="F121" s="305"/>
      <c r="G121" s="305"/>
      <c r="H121" s="305"/>
      <c r="I121" s="305"/>
      <c r="J121" s="305"/>
      <c r="K121" s="305"/>
      <c r="L121" s="305"/>
      <c r="M121" s="293"/>
      <c r="N121" s="293"/>
      <c r="O121" s="293"/>
      <c r="P121" s="293"/>
      <c r="Q121" s="293"/>
      <c r="R121" s="293"/>
      <c r="S121" s="298"/>
      <c r="T121" s="293"/>
      <c r="U121" s="293"/>
      <c r="V121" s="293"/>
      <c r="W121" s="293"/>
      <c r="X121" s="293"/>
      <c r="Y121" s="293"/>
      <c r="Z121" s="293"/>
      <c r="AA121" s="293"/>
      <c r="AB121" s="293"/>
      <c r="AC121" s="293"/>
      <c r="AD121" s="293"/>
      <c r="AE121" s="293"/>
      <c r="AF121" s="293"/>
      <c r="AG121" s="295"/>
      <c r="AH121" s="296"/>
      <c r="AI121" s="123"/>
      <c r="AJ121" s="123"/>
      <c r="AK121" s="123"/>
      <c r="AL121" s="123"/>
      <c r="AM121" s="123"/>
      <c r="AN121" s="297"/>
      <c r="AO121" s="123"/>
      <c r="AP121" s="123"/>
      <c r="AQ121" s="123"/>
    </row>
    <row r="122" spans="1:43" ht="12" customHeight="1" x14ac:dyDescent="0.2">
      <c r="A122" s="123"/>
      <c r="B122" s="482" t="s">
        <v>91</v>
      </c>
      <c r="C122" s="482"/>
      <c r="D122" s="482"/>
      <c r="E122" s="482"/>
      <c r="F122" s="482"/>
      <c r="G122" s="482"/>
      <c r="H122" s="482"/>
      <c r="I122" s="482"/>
      <c r="J122" s="482"/>
      <c r="K122" s="482"/>
      <c r="L122" s="482"/>
      <c r="M122" s="482"/>
      <c r="N122" s="482"/>
      <c r="O122" s="482"/>
      <c r="P122" s="482"/>
      <c r="Q122" s="482"/>
      <c r="R122" s="293"/>
      <c r="S122" s="293"/>
      <c r="T122" s="293"/>
      <c r="U122" s="293"/>
      <c r="V122" s="293"/>
      <c r="W122" s="293"/>
      <c r="X122" s="293"/>
      <c r="Y122" s="293"/>
      <c r="Z122" s="293"/>
      <c r="AA122" s="293"/>
      <c r="AB122" s="293"/>
      <c r="AC122" s="293"/>
      <c r="AD122" s="293"/>
      <c r="AE122" s="293"/>
      <c r="AF122" s="293"/>
      <c r="AG122" s="295"/>
      <c r="AH122" s="296"/>
      <c r="AI122" s="123"/>
      <c r="AJ122" s="123"/>
      <c r="AK122" s="123"/>
      <c r="AL122" s="123"/>
      <c r="AM122" s="123"/>
      <c r="AN122" s="297"/>
      <c r="AO122" s="123"/>
      <c r="AP122" s="123"/>
      <c r="AQ122" s="123"/>
    </row>
    <row r="123" spans="1:43" ht="11.25" customHeight="1" x14ac:dyDescent="0.2">
      <c r="A123" s="123"/>
      <c r="B123" s="293"/>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293"/>
      <c r="Z123" s="293"/>
      <c r="AA123" s="293"/>
      <c r="AB123" s="293"/>
      <c r="AC123" s="293"/>
      <c r="AD123" s="293"/>
      <c r="AE123" s="293"/>
      <c r="AF123" s="293"/>
      <c r="AG123" s="295"/>
      <c r="AH123" s="296"/>
      <c r="AI123" s="123"/>
      <c r="AJ123" s="123"/>
      <c r="AK123" s="123"/>
      <c r="AL123" s="123"/>
      <c r="AM123" s="123"/>
      <c r="AN123" s="297"/>
      <c r="AO123" s="123"/>
      <c r="AP123" s="123"/>
      <c r="AQ123" s="123"/>
    </row>
    <row r="124" spans="1:43" ht="11.25" customHeight="1" x14ac:dyDescent="0.2">
      <c r="A124" s="298"/>
      <c r="B124" s="298"/>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c r="AA124" s="298"/>
      <c r="AB124" s="298"/>
      <c r="AC124" s="298"/>
      <c r="AD124" s="298"/>
      <c r="AE124" s="298"/>
      <c r="AF124" s="298"/>
      <c r="AG124" s="298"/>
      <c r="AH124" s="298"/>
      <c r="AI124" s="298"/>
      <c r="AJ124" s="298"/>
      <c r="AK124" s="298"/>
      <c r="AL124" s="298"/>
      <c r="AM124" s="298"/>
      <c r="AN124" s="298"/>
      <c r="AO124" s="298"/>
      <c r="AP124" s="298"/>
      <c r="AQ124" s="123"/>
    </row>
    <row r="125" spans="1:43" x14ac:dyDescent="0.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row>
    <row r="126" spans="1:43"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row>
    <row r="127" spans="1:43"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row>
    <row r="128" spans="1:43" x14ac:dyDescent="0.2">
      <c r="AG128" s="50"/>
      <c r="AH128" s="50"/>
      <c r="AN128" s="50"/>
    </row>
    <row r="129" spans="33:40" x14ac:dyDescent="0.2">
      <c r="AG129" s="50"/>
      <c r="AH129" s="50"/>
      <c r="AN129" s="50"/>
    </row>
    <row r="130" spans="33:40" x14ac:dyDescent="0.2">
      <c r="AG130" s="50"/>
      <c r="AH130" s="50"/>
      <c r="AN130" s="50"/>
    </row>
    <row r="131" spans="33:40" x14ac:dyDescent="0.2">
      <c r="AG131" s="50"/>
      <c r="AH131" s="50"/>
      <c r="AN131" s="50"/>
    </row>
    <row r="132" spans="33:40" x14ac:dyDescent="0.2">
      <c r="AG132" s="50"/>
      <c r="AH132" s="50"/>
      <c r="AN132" s="50"/>
    </row>
    <row r="133" spans="33:40" x14ac:dyDescent="0.2">
      <c r="AG133" s="50"/>
      <c r="AH133" s="50"/>
      <c r="AN133" s="50"/>
    </row>
    <row r="134" spans="33:40" x14ac:dyDescent="0.2">
      <c r="AG134" s="50"/>
      <c r="AH134" s="50"/>
      <c r="AN134" s="50"/>
    </row>
    <row r="135" spans="33:40" x14ac:dyDescent="0.2">
      <c r="AG135" s="50"/>
      <c r="AH135" s="50"/>
      <c r="AN135" s="50"/>
    </row>
    <row r="136" spans="33:40" x14ac:dyDescent="0.2">
      <c r="AG136" s="50"/>
      <c r="AH136" s="50"/>
      <c r="AN136" s="50"/>
    </row>
    <row r="137" spans="33:40" x14ac:dyDescent="0.2">
      <c r="AG137" s="50"/>
      <c r="AH137" s="50"/>
      <c r="AN137" s="50"/>
    </row>
    <row r="138" spans="33:40" x14ac:dyDescent="0.2">
      <c r="AG138" s="50"/>
      <c r="AH138" s="50"/>
      <c r="AN138" s="50"/>
    </row>
    <row r="139" spans="33:40" x14ac:dyDescent="0.2">
      <c r="AG139" s="50"/>
      <c r="AH139" s="50"/>
      <c r="AN139" s="50"/>
    </row>
    <row r="140" spans="33:40" x14ac:dyDescent="0.2">
      <c r="AG140" s="50"/>
      <c r="AH140" s="50"/>
      <c r="AN140" s="50"/>
    </row>
  </sheetData>
  <sheetProtection sheet="1" objects="1" scenarios="1"/>
  <mergeCells count="26">
    <mergeCell ref="B6:E6"/>
    <mergeCell ref="F6:N6"/>
    <mergeCell ref="B1:L1"/>
    <mergeCell ref="AO1:AP1"/>
    <mergeCell ref="B2:E2"/>
    <mergeCell ref="F2:N2"/>
    <mergeCell ref="P2:U2"/>
    <mergeCell ref="B3:E3"/>
    <mergeCell ref="F3:N3"/>
    <mergeCell ref="P3:U3"/>
    <mergeCell ref="B4:E4"/>
    <mergeCell ref="F4:N4"/>
    <mergeCell ref="P4:U4"/>
    <mergeCell ref="B5:E5"/>
    <mergeCell ref="F5:N5"/>
    <mergeCell ref="B122:Q122"/>
    <mergeCell ref="B7:E7"/>
    <mergeCell ref="F7:N7"/>
    <mergeCell ref="AH10:AI10"/>
    <mergeCell ref="AO10:AP10"/>
    <mergeCell ref="B117:Q117"/>
    <mergeCell ref="B119:Q119"/>
    <mergeCell ref="Y119:AF120"/>
    <mergeCell ref="AG119:AP120"/>
    <mergeCell ref="B120:Q120"/>
    <mergeCell ref="T120:X120"/>
  </mergeCells>
  <conditionalFormatting sqref="B114:AF114 AI114">
    <cfRule type="expression" dxfId="156" priority="13">
      <formula>ABS(B$114)&gt;=ROUND(1/24/60,9)</formula>
    </cfRule>
  </conditionalFormatting>
  <conditionalFormatting sqref="B13:AF22 B34:AF44 B25:AF30 B60:AF61 B67:AF67 B71:AF72 B84:AF84 B86:AF95 B97:AF111">
    <cfRule type="expression" dxfId="155" priority="11">
      <formula>WEEKDAY(B$10,2)&gt;5</formula>
    </cfRule>
    <cfRule type="expression" dxfId="154" priority="12">
      <formula>AND(NOT(ISERROR(MATCH(B$10,T.Feiertage.Bereich,0))),OFFSET(T.Feiertage.Bereich,MATCH(B$10,T.Feiertage.Bereich,0)-1,1,1,1)&gt;0)</formula>
    </cfRule>
    <cfRule type="expression" dxfId="153" priority="14">
      <formula>B$11=0</formula>
    </cfRule>
  </conditionalFormatting>
  <conditionalFormatting sqref="AN60:AO60">
    <cfRule type="expression" dxfId="152" priority="19">
      <formula>AND(T.50_Vetsuisse,AN60&gt;=T.GrenzeAngÜZ50_Vetsuisse)</formula>
    </cfRule>
    <cfRule type="expression" dxfId="151" priority="20">
      <formula>AND(T.50_Vetsuisse,AN60&gt;T.GrenzeAngÜZ50_Vetsuisse*T.AngÜZ50_Vetsuisse_orange)</formula>
    </cfRule>
  </conditionalFormatting>
  <conditionalFormatting sqref="B56:AF56">
    <cfRule type="expression" dxfId="150" priority="5">
      <formula>AND(B$10&gt;TODAY(),EB.UJAustritt="")</formula>
    </cfRule>
    <cfRule type="expression" dxfId="149" priority="6">
      <formula>B$56&gt;99.99/24</formula>
    </cfRule>
    <cfRule type="expression" dxfId="148" priority="8">
      <formula>B$56&lt;99.99/24*-1</formula>
    </cfRule>
  </conditionalFormatting>
  <conditionalFormatting sqref="AO55:AP55">
    <cfRule type="cellIs" dxfId="147" priority="21" operator="greaterThan">
      <formula>1/24/60</formula>
    </cfRule>
    <cfRule type="expression" dxfId="146" priority="22">
      <formula>AND(AO55&lt;=1/24/60*-1,TODAY()&gt;=DATE(EB.Jahr,MONTH(12),DAY(31)))</formula>
    </cfRule>
  </conditionalFormatting>
  <conditionalFormatting sqref="B56:AF56 AI58">
    <cfRule type="expression" dxfId="145" priority="7">
      <formula>B$56&gt;1/24/60</formula>
    </cfRule>
    <cfRule type="expression" dxfId="144" priority="9">
      <formula>AND(B$56&lt;=1/24/60*-1,B$56)</formula>
    </cfRule>
  </conditionalFormatting>
  <conditionalFormatting sqref="B14:AF22 B36:AF44 B26:AF30">
    <cfRule type="expression" dxfId="143" priority="3">
      <formula>AND(B14&lt;B13,B14&lt;&gt;"")</formula>
    </cfRule>
  </conditionalFormatting>
  <conditionalFormatting sqref="B72:AF73">
    <cfRule type="expression" dxfId="142" priority="10">
      <formula>AND(T.50_Vetsuisse,OR(AND(B$72&lt;&gt;INDEX(T.JaNein.Bereich,1,1),B$72&lt;&gt;INDEX(T.JaNein.Bereich,2,1),B$73&lt;&gt;0,MOD(IFERROR(MATCH(1,B$13:B$22,0),1),2)=0),AND(B$72=INDEX(T.JaNein.Bereich,1,1),OR(B$73=0,MOD(IFERROR(MATCH(1,B$13:B$22,0),1),2)&lt;&gt;0))))</formula>
    </cfRule>
  </conditionalFormatting>
  <conditionalFormatting sqref="P4:U4">
    <cfRule type="expression" dxfId="141" priority="15">
      <formula>$P$4&lt;&gt;""</formula>
    </cfRule>
  </conditionalFormatting>
  <conditionalFormatting sqref="V4">
    <cfRule type="expression" dxfId="140" priority="16">
      <formula>$V$4&lt;&gt;""</formula>
    </cfRule>
  </conditionalFormatting>
  <conditionalFormatting sqref="AP60">
    <cfRule type="expression" dxfId="139" priority="23">
      <formula>AND(T.50_Vetsuisse,AP60&gt;=T.GrenzeAngÜZ50_Vetsuisse)</formula>
    </cfRule>
    <cfRule type="expression" dxfId="138" priority="24">
      <formula>AND(T.50_Vetsuisse,AP60&gt;T.GrenzeAngÜZ50_Vetsuisse*T.AngÜZ50_Vetsuisse_orange)</formula>
    </cfRule>
  </conditionalFormatting>
  <conditionalFormatting sqref="AJ72:AJ73">
    <cfRule type="expression" dxfId="137" priority="17">
      <formula>AND(T.50_Vetsuisse,$AJ$72&lt;&gt;$AJ$73)</formula>
    </cfRule>
    <cfRule type="expression" dxfId="136" priority="18">
      <formula>$AJ$72&gt;$AJ$73</formula>
    </cfRule>
  </conditionalFormatting>
  <conditionalFormatting sqref="B55:AF55">
    <cfRule type="expression" dxfId="135" priority="4">
      <formula>AND(B$10&lt;=TODAY(),B$55&lt;1/24/60*-1)</formula>
    </cfRule>
  </conditionalFormatting>
  <conditionalFormatting sqref="AG67 AG84">
    <cfRule type="expression" dxfId="134" priority="2">
      <formula>AG67&lt;&gt;A67</formula>
    </cfRule>
  </conditionalFormatting>
  <conditionalFormatting sqref="B67:AF67">
    <cfRule type="expression" dxfId="133" priority="1">
      <formula>AND(B66=0,B67&gt;0)</formula>
    </cfRule>
  </conditionalFormatting>
  <dataValidations count="2">
    <dataValidation type="list" allowBlank="1" showInputMessage="1" showErrorMessage="1" errorTitle="Start pl. night shift" error="Please choose a value from the drop-down list." sqref="B72:AF72" xr:uid="{2541BC3E-D889-4702-A942-0E4DFE8BC4F1}">
      <formula1>T.JaNein.Bereich</formula1>
    </dataValidation>
    <dataValidation type="list" allowBlank="1" showInputMessage="1" showErrorMessage="1" errorTitle="Pikett Bereitschaft" error="Bitte wählen Sie einen Wert aus der Liste." sqref="B34:AF34" xr:uid="{4B5332EB-EBD8-4B3B-ADB7-2BBFF080CEB7}">
      <formula1>T.Pikett.Bereich</formula1>
    </dataValidation>
  </dataValidations>
  <printOptions horizontalCentered="1"/>
  <pageMargins left="0.19685039370078741" right="0.19685039370078741" top="0.39370078740157483" bottom="0.39370078740157483" header="0.31496062992125984" footer="0.19685039370078741"/>
  <pageSetup paperSize="9" scale="30" orientation="landscape" horizontalDpi="4294967292" verticalDpi="4294967292" r:id="rId1"/>
  <headerFooter alignWithMargins="0">
    <oddFooter>&amp;L&amp;"Arial,Standard"&amp;11Monatsabrechnung &amp;A&amp;C&amp;"Arial,Standard"&amp;11&amp;D&amp;R&amp;"Arial,Standard"&amp;11&amp;P /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8F213-D85C-4A2E-9A83-E83E80FAB786}">
  <sheetPr>
    <pageSetUpPr fitToPage="1"/>
  </sheetPr>
  <dimension ref="A1:AQ140"/>
  <sheetViews>
    <sheetView showGridLines="0" zoomScale="85" zoomScaleNormal="85" zoomScalePageLayoutView="85" workbookViewId="0">
      <pane xSplit="1" ySplit="10" topLeftCell="B11" activePane="bottomRight" state="frozenSplit"/>
      <selection activeCell="Q8" sqref="Q8:AF11"/>
      <selection pane="topRight" activeCell="Q8" sqref="Q8:AF11"/>
      <selection pane="bottomLeft" activeCell="Q8" sqref="Q8:AF11"/>
      <selection pane="bottomRight" activeCell="B13" sqref="B13"/>
    </sheetView>
  </sheetViews>
  <sheetFormatPr baseColWidth="10" defaultColWidth="10.75" defaultRowHeight="12.75" outlineLevelRow="1" outlineLevelCol="1" x14ac:dyDescent="0.2"/>
  <cols>
    <col min="1" max="1" width="24.5" style="50" customWidth="1"/>
    <col min="2" max="32" width="5.75" style="50" customWidth="1"/>
    <col min="33" max="33" width="24.5" style="52" customWidth="1"/>
    <col min="34" max="34" width="2.125" style="53" customWidth="1"/>
    <col min="35" max="36" width="8.125" style="50" customWidth="1"/>
    <col min="37" max="37" width="15.875" style="50" hidden="1" customWidth="1" outlineLevel="1"/>
    <col min="38" max="39" width="14.25" style="50" hidden="1" customWidth="1" outlineLevel="1"/>
    <col min="40" max="40" width="9.375" style="37" customWidth="1" collapsed="1"/>
    <col min="41" max="42" width="8.125" style="50" customWidth="1"/>
    <col min="43" max="43" width="3.75" style="50" customWidth="1"/>
    <col min="44" max="16384" width="10.75" style="50"/>
  </cols>
  <sheetData>
    <row r="1" spans="1:43" s="54" customFormat="1" ht="22.5" customHeight="1" x14ac:dyDescent="0.2">
      <c r="A1" s="181" t="str">
        <f>INDEX(EB.Monate.Bereich,MONTH(Monat.Tag1)) &amp; " " &amp; EB.Jahr</f>
        <v>August 2020</v>
      </c>
      <c r="B1" s="470" t="str">
        <f>Eingabeblatt!B1</f>
        <v>Employee Time Sheet</v>
      </c>
      <c r="C1" s="470"/>
      <c r="D1" s="470"/>
      <c r="E1" s="470"/>
      <c r="F1" s="470"/>
      <c r="G1" s="470"/>
      <c r="H1" s="470"/>
      <c r="I1" s="470"/>
      <c r="J1" s="470"/>
      <c r="K1" s="470"/>
      <c r="L1" s="470"/>
      <c r="M1" s="101"/>
      <c r="N1" s="101"/>
      <c r="O1" s="101"/>
      <c r="P1" s="101"/>
      <c r="Q1" s="101"/>
      <c r="R1" s="182"/>
      <c r="S1" s="101"/>
      <c r="T1" s="101"/>
      <c r="U1" s="101"/>
      <c r="V1" s="183"/>
      <c r="W1" s="183"/>
      <c r="X1" s="101"/>
      <c r="Y1" s="182"/>
      <c r="Z1" s="101"/>
      <c r="AA1" s="101"/>
      <c r="AB1" s="101"/>
      <c r="AC1" s="101"/>
      <c r="AD1" s="101"/>
      <c r="AE1" s="101"/>
      <c r="AF1" s="101"/>
      <c r="AG1" s="184"/>
      <c r="AH1" s="185"/>
      <c r="AI1" s="101"/>
      <c r="AJ1" s="101"/>
      <c r="AK1" s="101"/>
      <c r="AL1" s="101"/>
      <c r="AM1" s="101"/>
      <c r="AN1" s="440"/>
      <c r="AO1" s="498" t="str">
        <f>EB.Version</f>
        <v>Version 12.19</v>
      </c>
      <c r="AP1" s="498"/>
      <c r="AQ1" s="103" t="str">
        <f>EB.Sprache</f>
        <v>EN</v>
      </c>
    </row>
    <row r="2" spans="1:43" s="38" customFormat="1" ht="15" customHeight="1" x14ac:dyDescent="0.2">
      <c r="A2" s="135"/>
      <c r="B2" s="461" t="str">
        <f>Eingabeblatt!A3</f>
        <v>Name</v>
      </c>
      <c r="C2" s="474"/>
      <c r="D2" s="474"/>
      <c r="E2" s="462"/>
      <c r="F2" s="499" t="str">
        <f>IF(EB.Name="","?",EB.Name)</f>
        <v>?</v>
      </c>
      <c r="G2" s="500"/>
      <c r="H2" s="500"/>
      <c r="I2" s="500"/>
      <c r="J2" s="500"/>
      <c r="K2" s="500"/>
      <c r="L2" s="500"/>
      <c r="M2" s="500"/>
      <c r="N2" s="501"/>
      <c r="O2" s="186"/>
      <c r="P2" s="461" t="str">
        <f>Eingabeblatt!J7</f>
        <v>Employment Level (FTE) in %</v>
      </c>
      <c r="Q2" s="474"/>
      <c r="R2" s="474"/>
      <c r="S2" s="474"/>
      <c r="T2" s="474"/>
      <c r="U2" s="462"/>
      <c r="V2" s="14">
        <f>IF(INDEX(EB.EffBG.Bereich,MONTH(Monat.Tag1))="","-     ",INDEX(EB.EffBG.Bereich,MONTH(Monat.Tag1)))</f>
        <v>100</v>
      </c>
      <c r="W2" s="187"/>
      <c r="X2" s="187"/>
      <c r="Y2" s="108"/>
      <c r="Z2" s="119"/>
      <c r="AA2" s="119"/>
      <c r="AB2" s="119"/>
      <c r="AC2" s="119"/>
      <c r="AD2" s="119"/>
      <c r="AE2" s="119"/>
      <c r="AF2" s="119"/>
      <c r="AG2" s="106"/>
      <c r="AH2" s="188"/>
      <c r="AI2" s="119"/>
      <c r="AJ2" s="119"/>
      <c r="AK2" s="119"/>
      <c r="AL2" s="119"/>
      <c r="AM2" s="119"/>
      <c r="AN2" s="189"/>
      <c r="AO2" s="119"/>
      <c r="AP2" s="119"/>
      <c r="AQ2" s="119"/>
    </row>
    <row r="3" spans="1:43" s="38" customFormat="1" ht="15" customHeight="1" x14ac:dyDescent="0.2">
      <c r="A3" s="190"/>
      <c r="B3" s="461" t="str">
        <f>Eingabeblatt!H2</f>
        <v>Function</v>
      </c>
      <c r="C3" s="474"/>
      <c r="D3" s="474"/>
      <c r="E3" s="462"/>
      <c r="F3" s="483" t="str">
        <f>EB.Funktion</f>
        <v>Description of Function</v>
      </c>
      <c r="G3" s="484"/>
      <c r="H3" s="484"/>
      <c r="I3" s="484"/>
      <c r="J3" s="484"/>
      <c r="K3" s="484"/>
      <c r="L3" s="484"/>
      <c r="M3" s="484"/>
      <c r="N3" s="485"/>
      <c r="O3" s="106"/>
      <c r="P3" s="461" t="str">
        <f>Eingabeblatt!J12</f>
        <v>ø Hours per day at FTE</v>
      </c>
      <c r="Q3" s="474"/>
      <c r="R3" s="474"/>
      <c r="S3" s="474"/>
      <c r="T3" s="474"/>
      <c r="U3" s="462"/>
      <c r="V3" s="57">
        <f>IF(INDEX(EB.DurchSollTAZStd.Bereich,MONTH(Monat.Tag1))="","-     ",INDEX(EB.DurchSollTAZStd.Bereich,MONTH(Monat.Tag1)))</f>
        <v>0.35</v>
      </c>
      <c r="W3" s="191"/>
      <c r="X3" s="191"/>
      <c r="Y3" s="119"/>
      <c r="Z3" s="119"/>
      <c r="AA3" s="119"/>
      <c r="AB3" s="119"/>
      <c r="AC3" s="119"/>
      <c r="AD3" s="119"/>
      <c r="AE3" s="119"/>
      <c r="AF3" s="119"/>
      <c r="AG3" s="106"/>
      <c r="AH3" s="188"/>
      <c r="AI3" s="119"/>
      <c r="AJ3" s="119"/>
      <c r="AK3" s="119"/>
      <c r="AL3" s="119"/>
      <c r="AM3" s="119"/>
      <c r="AN3" s="189"/>
      <c r="AO3" s="119"/>
      <c r="AP3" s="119"/>
      <c r="AQ3" s="119"/>
    </row>
    <row r="4" spans="1:43" s="38" customFormat="1" ht="15" customHeight="1" x14ac:dyDescent="0.2">
      <c r="A4" s="190"/>
      <c r="B4" s="461" t="str">
        <f>Eingabeblatt!H3</f>
        <v>Institute/Department</v>
      </c>
      <c r="C4" s="474"/>
      <c r="D4" s="474"/>
      <c r="E4" s="462"/>
      <c r="F4" s="483" t="str">
        <f>EB.Institut</f>
        <v>Institute/Department Name</v>
      </c>
      <c r="G4" s="484"/>
      <c r="H4" s="484"/>
      <c r="I4" s="484"/>
      <c r="J4" s="484"/>
      <c r="K4" s="484"/>
      <c r="L4" s="484"/>
      <c r="M4" s="484"/>
      <c r="N4" s="485"/>
      <c r="O4" s="106"/>
      <c r="P4" s="497" t="str">
        <f ca="1">IF(EB.ÜZZSBerechtigt=INDEX(T.JaNein.Bereich,1,1),IF(AND(OR(AND(EB.LKgr16=INDEX(T.JaNein.Bereich,1,1),EB.LKgr16ab&gt;EOMONTH(Monat.Tag1,0)),EB.LKgr16&lt;&gt;INDEX(T.JaNein.Bereich,1,1)),Monat.AZSoll.Total&gt;0),Eingabeblatt!J6,""),"")</f>
        <v/>
      </c>
      <c r="Q4" s="497"/>
      <c r="R4" s="497"/>
      <c r="S4" s="497"/>
      <c r="T4" s="497"/>
      <c r="U4" s="497"/>
      <c r="V4" s="192" t="str">
        <f ca="1">IF(P4&lt;&gt;"",EB.ÜZZSBerechtigt,"")</f>
        <v/>
      </c>
      <c r="W4" s="119"/>
      <c r="X4" s="119"/>
      <c r="Y4" s="119"/>
      <c r="Z4" s="119"/>
      <c r="AA4" s="119"/>
      <c r="AB4" s="119"/>
      <c r="AC4" s="119"/>
      <c r="AD4" s="119"/>
      <c r="AE4" s="119"/>
      <c r="AF4" s="119"/>
      <c r="AG4" s="106"/>
      <c r="AH4" s="188"/>
      <c r="AI4" s="119"/>
      <c r="AJ4" s="119"/>
      <c r="AK4" s="119"/>
      <c r="AL4" s="119"/>
      <c r="AM4" s="119"/>
      <c r="AN4" s="189"/>
      <c r="AO4" s="119"/>
      <c r="AP4" s="119"/>
      <c r="AQ4" s="119"/>
    </row>
    <row r="5" spans="1:43" s="38" customFormat="1" ht="15" customHeight="1" x14ac:dyDescent="0.2">
      <c r="A5" s="190"/>
      <c r="B5" s="461" t="str">
        <f>Eingabeblatt!A5</f>
        <v>Employee Number</v>
      </c>
      <c r="C5" s="474"/>
      <c r="D5" s="474"/>
      <c r="E5" s="462"/>
      <c r="F5" s="483" t="str">
        <f>IF(EB.Personalnummer="","?",EB.Personalnummer)</f>
        <v>?</v>
      </c>
      <c r="G5" s="484"/>
      <c r="H5" s="484"/>
      <c r="I5" s="484"/>
      <c r="J5" s="484"/>
      <c r="K5" s="484"/>
      <c r="L5" s="484"/>
      <c r="M5" s="484"/>
      <c r="N5" s="485"/>
      <c r="O5" s="106"/>
      <c r="P5" s="110" t="str">
        <f>LEFT(Eingabeblatt!A38,SEARCH("(",Eingabeblatt!A38,1)-2) &amp; IF(MONTH(Monat.Tag1)&gt;1,IF(EB.Sprache="EN"," (changes as of "," (Veränderungen ab ") &amp; INDEX(EB.Monate.Bereich,MONTH(Monat.Tag1))  &amp; IF(EB.Sprache="EN"," have to be entered here)"," hier eintragen)"),"")</f>
        <v>Standard working hours (changes as of August have to be entered here)</v>
      </c>
      <c r="Q5" s="106"/>
      <c r="R5" s="119"/>
      <c r="S5" s="119"/>
      <c r="T5" s="119"/>
      <c r="U5" s="119"/>
      <c r="V5" s="119"/>
      <c r="W5" s="119"/>
      <c r="X5" s="119"/>
      <c r="Y5" s="119"/>
      <c r="Z5" s="119"/>
      <c r="AA5" s="119"/>
      <c r="AB5" s="119"/>
      <c r="AC5" s="119"/>
      <c r="AD5" s="119"/>
      <c r="AE5" s="119"/>
      <c r="AF5" s="119" t="s">
        <v>4</v>
      </c>
      <c r="AG5" s="106"/>
      <c r="AH5" s="188"/>
      <c r="AI5" s="119"/>
      <c r="AJ5" s="119"/>
      <c r="AK5" s="119"/>
      <c r="AL5" s="119"/>
      <c r="AM5" s="119"/>
      <c r="AN5" s="189"/>
      <c r="AO5" s="119"/>
      <c r="AP5" s="119"/>
      <c r="AQ5" s="119"/>
    </row>
    <row r="6" spans="1:43" s="38" customFormat="1" ht="15" customHeight="1" x14ac:dyDescent="0.2">
      <c r="A6" s="190"/>
      <c r="B6" s="461" t="str">
        <f>Eingabeblatt!H4</f>
        <v>Faculty</v>
      </c>
      <c r="C6" s="474"/>
      <c r="D6" s="474"/>
      <c r="E6" s="462"/>
      <c r="F6" s="483" t="str">
        <f>EB.Fakultaet</f>
        <v>Select Faculty</v>
      </c>
      <c r="G6" s="484"/>
      <c r="H6" s="484"/>
      <c r="I6" s="484"/>
      <c r="J6" s="484"/>
      <c r="K6" s="484"/>
      <c r="L6" s="484"/>
      <c r="M6" s="484"/>
      <c r="N6" s="485"/>
      <c r="O6" s="106"/>
      <c r="P6" s="193" t="str">
        <f>LEFT(INDEX(EB.RAZ_Wochentage.Bereich,1),2)</f>
        <v>Mo</v>
      </c>
      <c r="Q6" s="193" t="str">
        <f>LEFT(INDEX(EB.RAZ_Wochentage.Bereich,2),2)</f>
        <v>Tu</v>
      </c>
      <c r="R6" s="193" t="str">
        <f>LEFT(INDEX(EB.RAZ_Wochentage.Bereich,3),2)</f>
        <v>We</v>
      </c>
      <c r="S6" s="193" t="str">
        <f>LEFT(INDEX(EB.RAZ_Wochentage.Bereich,4),2)</f>
        <v>Th</v>
      </c>
      <c r="T6" s="193" t="str">
        <f>LEFT(INDEX(EB.RAZ_Wochentage.Bereich,5),2)</f>
        <v>Fr</v>
      </c>
      <c r="U6" s="193" t="str">
        <f>LEFT(INDEX(EB.RAZ_Wochentage.Bereich,6),2)</f>
        <v>Sa</v>
      </c>
      <c r="V6" s="193" t="str">
        <f>LEFT(INDEX(EB.RAZ_Wochentage.Bereich,7),2)</f>
        <v>Su</v>
      </c>
      <c r="W6" s="119"/>
      <c r="X6" s="119"/>
      <c r="Y6" s="119"/>
      <c r="Z6" s="119"/>
      <c r="AA6" s="119"/>
      <c r="AB6" s="119"/>
      <c r="AC6" s="119"/>
      <c r="AD6" s="119"/>
      <c r="AE6" s="119"/>
      <c r="AF6" s="119"/>
      <c r="AG6" s="106"/>
      <c r="AH6" s="188"/>
      <c r="AI6" s="119"/>
      <c r="AJ6" s="119"/>
      <c r="AK6" s="119"/>
      <c r="AL6" s="119"/>
      <c r="AM6" s="119"/>
      <c r="AN6" s="189"/>
      <c r="AO6" s="119"/>
      <c r="AP6" s="119"/>
      <c r="AQ6" s="119"/>
    </row>
    <row r="7" spans="1:43" s="38" customFormat="1" ht="15" customHeight="1" x14ac:dyDescent="0.2">
      <c r="A7" s="190"/>
      <c r="B7" s="461" t="str">
        <f>Eingabeblatt!H5</f>
        <v>Employee Category</v>
      </c>
      <c r="C7" s="474"/>
      <c r="D7" s="474"/>
      <c r="E7" s="462"/>
      <c r="F7" s="483" t="str">
        <f>EB.Personalkategorie</f>
        <v>Select Employee Category</v>
      </c>
      <c r="G7" s="484"/>
      <c r="H7" s="484"/>
      <c r="I7" s="484"/>
      <c r="J7" s="484"/>
      <c r="K7" s="484"/>
      <c r="L7" s="484"/>
      <c r="M7" s="484"/>
      <c r="N7" s="485"/>
      <c r="O7" s="106"/>
      <c r="P7" s="194">
        <f ca="1">IF(EB.Anwendung&lt;&gt;"",IF(MONTH(Monat.Tag1)=1,INDEX(EB.RAZ1_7.Bereich,1),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1)),"")</f>
        <v>0.35</v>
      </c>
      <c r="Q7" s="194">
        <f ca="1">IF(EB.Anwendung&lt;&gt;"",IF(MONTH(Monat.Tag1)=1,INDEX(EB.RAZ1_7.Bereich,2),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2)),"")</f>
        <v>0.35</v>
      </c>
      <c r="R7" s="194">
        <f ca="1">IF(EB.Anwendung&lt;&gt;"",IF(MONTH(Monat.Tag1)=1,INDEX(EB.RAZ1_7.Bereich,3),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3)),"")</f>
        <v>0.35</v>
      </c>
      <c r="S7" s="194">
        <f ca="1">IF(EB.Anwendung&lt;&gt;"",IF(MONTH(Monat.Tag1)=1,INDEX(EB.RAZ1_7.Bereich,4),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4)),"")</f>
        <v>0.35</v>
      </c>
      <c r="T7" s="194">
        <f ca="1">IF(EB.Anwendung&lt;&gt;"",IF(MONTH(Monat.Tag1)=1,INDEX(EB.RAZ1_7.Bereich,5),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5)),"")</f>
        <v>0.35</v>
      </c>
      <c r="U7" s="194">
        <f ca="1">IF(EB.Anwendung&lt;&gt;"",IF(MONTH(Monat.Tag1)=1,INDEX(EB.RAZ1_7.Bereich,6),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6)),"")</f>
        <v>0</v>
      </c>
      <c r="V7" s="194">
        <f ca="1">IF(EB.Anwendung&lt;&gt;"",IF(MONTH(Monat.Tag1)=1,INDEX(EB.RAZ1_7.Bereich,7),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7)),"")</f>
        <v>0</v>
      </c>
      <c r="W7" s="354">
        <f ca="1">SUM(Monat.RAZ1_7.Bereich)</f>
        <v>1.75</v>
      </c>
      <c r="X7" s="119"/>
      <c r="Y7" s="119"/>
      <c r="Z7" s="119"/>
      <c r="AA7" s="119"/>
      <c r="AB7" s="119"/>
      <c r="AC7" s="119"/>
      <c r="AD7" s="119"/>
      <c r="AE7" s="119"/>
      <c r="AF7" s="119"/>
      <c r="AG7" s="106"/>
      <c r="AH7" s="188"/>
      <c r="AI7" s="119"/>
      <c r="AJ7" s="119"/>
      <c r="AK7" s="119"/>
      <c r="AL7" s="119"/>
      <c r="AM7" s="119"/>
      <c r="AN7" s="189"/>
      <c r="AO7" s="119"/>
      <c r="AP7" s="119"/>
      <c r="AQ7" s="119"/>
    </row>
    <row r="8" spans="1:43" s="38" customFormat="1" ht="11.25" customHeight="1" x14ac:dyDescent="0.2">
      <c r="A8" s="135"/>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06"/>
      <c r="AH8" s="188"/>
      <c r="AI8" s="119"/>
      <c r="AJ8" s="119"/>
      <c r="AK8" s="119"/>
      <c r="AL8" s="119"/>
      <c r="AM8" s="119"/>
      <c r="AN8" s="189"/>
      <c r="AO8" s="119"/>
      <c r="AP8" s="119"/>
      <c r="AQ8" s="119"/>
    </row>
    <row r="9" spans="1:43" s="38" customFormat="1" ht="15" customHeight="1" x14ac:dyDescent="0.2">
      <c r="A9" s="135"/>
      <c r="B9" s="195" t="str">
        <f t="shared" ref="B9:AF9" si="0">INDEX(Monat.Wochentage.Bereich,1,WEEKDAY(B10,2))</f>
        <v>Sa</v>
      </c>
      <c r="C9" s="195" t="str">
        <f t="shared" si="0"/>
        <v>Su</v>
      </c>
      <c r="D9" s="195" t="str">
        <f t="shared" si="0"/>
        <v>Mo</v>
      </c>
      <c r="E9" s="195" t="str">
        <f t="shared" si="0"/>
        <v>Tu</v>
      </c>
      <c r="F9" s="195" t="str">
        <f t="shared" si="0"/>
        <v>We</v>
      </c>
      <c r="G9" s="195" t="str">
        <f t="shared" si="0"/>
        <v>Th</v>
      </c>
      <c r="H9" s="195" t="str">
        <f t="shared" si="0"/>
        <v>Fr</v>
      </c>
      <c r="I9" s="195" t="str">
        <f t="shared" si="0"/>
        <v>Sa</v>
      </c>
      <c r="J9" s="195" t="str">
        <f t="shared" si="0"/>
        <v>Su</v>
      </c>
      <c r="K9" s="195" t="str">
        <f t="shared" si="0"/>
        <v>Mo</v>
      </c>
      <c r="L9" s="195" t="str">
        <f t="shared" si="0"/>
        <v>Tu</v>
      </c>
      <c r="M9" s="195" t="str">
        <f t="shared" si="0"/>
        <v>We</v>
      </c>
      <c r="N9" s="195" t="str">
        <f t="shared" si="0"/>
        <v>Th</v>
      </c>
      <c r="O9" s="195" t="str">
        <f t="shared" si="0"/>
        <v>Fr</v>
      </c>
      <c r="P9" s="195" t="str">
        <f t="shared" si="0"/>
        <v>Sa</v>
      </c>
      <c r="Q9" s="195" t="str">
        <f t="shared" si="0"/>
        <v>Su</v>
      </c>
      <c r="R9" s="195" t="str">
        <f t="shared" si="0"/>
        <v>Mo</v>
      </c>
      <c r="S9" s="195" t="str">
        <f t="shared" si="0"/>
        <v>Tu</v>
      </c>
      <c r="T9" s="195" t="str">
        <f t="shared" si="0"/>
        <v>We</v>
      </c>
      <c r="U9" s="195" t="str">
        <f t="shared" si="0"/>
        <v>Th</v>
      </c>
      <c r="V9" s="195" t="str">
        <f t="shared" si="0"/>
        <v>Fr</v>
      </c>
      <c r="W9" s="195" t="str">
        <f t="shared" si="0"/>
        <v>Sa</v>
      </c>
      <c r="X9" s="195" t="str">
        <f t="shared" si="0"/>
        <v>Su</v>
      </c>
      <c r="Y9" s="195" t="str">
        <f t="shared" si="0"/>
        <v>Mo</v>
      </c>
      <c r="Z9" s="195" t="str">
        <f t="shared" si="0"/>
        <v>Tu</v>
      </c>
      <c r="AA9" s="195" t="str">
        <f t="shared" si="0"/>
        <v>We</v>
      </c>
      <c r="AB9" s="195" t="str">
        <f t="shared" si="0"/>
        <v>Th</v>
      </c>
      <c r="AC9" s="195" t="str">
        <f t="shared" si="0"/>
        <v>Fr</v>
      </c>
      <c r="AD9" s="195" t="str">
        <f t="shared" si="0"/>
        <v>Sa</v>
      </c>
      <c r="AE9" s="195" t="str">
        <f t="shared" si="0"/>
        <v>Su</v>
      </c>
      <c r="AF9" s="195" t="str">
        <f t="shared" si="0"/>
        <v>Mo</v>
      </c>
      <c r="AG9" s="106"/>
      <c r="AH9" s="188"/>
      <c r="AI9" s="119"/>
      <c r="AJ9" s="119"/>
      <c r="AK9" s="119"/>
      <c r="AL9" s="119"/>
      <c r="AM9" s="119"/>
      <c r="AN9" s="189"/>
      <c r="AO9" s="119"/>
      <c r="AP9" s="119"/>
      <c r="AQ9" s="119"/>
    </row>
    <row r="10" spans="1:43" s="59" customFormat="1" ht="25.5" x14ac:dyDescent="0.2">
      <c r="A10" s="196" t="s">
        <v>73</v>
      </c>
      <c r="B10" s="197">
        <v>42582</v>
      </c>
      <c r="C10" s="197">
        <f>B10+1</f>
        <v>42583</v>
      </c>
      <c r="D10" s="197">
        <f t="shared" ref="D10:AF10" si="1">C10+1</f>
        <v>42584</v>
      </c>
      <c r="E10" s="197">
        <f t="shared" si="1"/>
        <v>42585</v>
      </c>
      <c r="F10" s="197">
        <f t="shared" si="1"/>
        <v>42586</v>
      </c>
      <c r="G10" s="197">
        <f t="shared" si="1"/>
        <v>42587</v>
      </c>
      <c r="H10" s="197">
        <f t="shared" si="1"/>
        <v>42588</v>
      </c>
      <c r="I10" s="197">
        <f t="shared" si="1"/>
        <v>42589</v>
      </c>
      <c r="J10" s="197">
        <f t="shared" si="1"/>
        <v>42590</v>
      </c>
      <c r="K10" s="197">
        <f t="shared" si="1"/>
        <v>42591</v>
      </c>
      <c r="L10" s="197">
        <f t="shared" si="1"/>
        <v>42592</v>
      </c>
      <c r="M10" s="197">
        <f t="shared" si="1"/>
        <v>42593</v>
      </c>
      <c r="N10" s="197">
        <f t="shared" si="1"/>
        <v>42594</v>
      </c>
      <c r="O10" s="197">
        <f t="shared" si="1"/>
        <v>42595</v>
      </c>
      <c r="P10" s="197">
        <f t="shared" si="1"/>
        <v>42596</v>
      </c>
      <c r="Q10" s="197">
        <f t="shared" si="1"/>
        <v>42597</v>
      </c>
      <c r="R10" s="197">
        <f t="shared" si="1"/>
        <v>42598</v>
      </c>
      <c r="S10" s="197">
        <f t="shared" si="1"/>
        <v>42599</v>
      </c>
      <c r="T10" s="197">
        <f t="shared" si="1"/>
        <v>42600</v>
      </c>
      <c r="U10" s="197">
        <f t="shared" si="1"/>
        <v>42601</v>
      </c>
      <c r="V10" s="197">
        <f t="shared" si="1"/>
        <v>42602</v>
      </c>
      <c r="W10" s="197">
        <f t="shared" si="1"/>
        <v>42603</v>
      </c>
      <c r="X10" s="197">
        <f t="shared" si="1"/>
        <v>42604</v>
      </c>
      <c r="Y10" s="197">
        <f t="shared" si="1"/>
        <v>42605</v>
      </c>
      <c r="Z10" s="197">
        <f t="shared" si="1"/>
        <v>42606</v>
      </c>
      <c r="AA10" s="197">
        <f t="shared" si="1"/>
        <v>42607</v>
      </c>
      <c r="AB10" s="197">
        <f t="shared" si="1"/>
        <v>42608</v>
      </c>
      <c r="AC10" s="197">
        <f t="shared" si="1"/>
        <v>42609</v>
      </c>
      <c r="AD10" s="197">
        <f t="shared" si="1"/>
        <v>42610</v>
      </c>
      <c r="AE10" s="197">
        <f t="shared" si="1"/>
        <v>42611</v>
      </c>
      <c r="AF10" s="197">
        <f t="shared" si="1"/>
        <v>42612</v>
      </c>
      <c r="AG10" s="198" t="str">
        <f t="shared" ref="AG10:AG56" si="2">A10</f>
        <v>Day</v>
      </c>
      <c r="AH10" s="486" t="str">
        <f>"Total " &amp; INDEX(EB.Monate.Bereich,MONTH(Monat.Tag1))</f>
        <v>Total August</v>
      </c>
      <c r="AI10" s="487"/>
      <c r="AJ10" s="441" t="s">
        <v>229</v>
      </c>
      <c r="AK10" s="199" t="s">
        <v>121</v>
      </c>
      <c r="AL10" s="199" t="s">
        <v>122</v>
      </c>
      <c r="AM10" s="199" t="s">
        <v>230</v>
      </c>
      <c r="AN10" s="200" t="s">
        <v>123</v>
      </c>
      <c r="AO10" s="488" t="str">
        <f ca="1">IF(EB.Sprache="DE","Jahressaldo per" &amp; CHAR(10) &amp; "    ME       " &amp; IFERROR(TEXT(TODAY(),"[$-0007]"&amp;"TT.MM.JJ"),TEXT(TODAY(),"[$-0007]"&amp;"DD.MM.YY")),
"Yearly balance by" &amp; CHAR(10) &amp; "   eom      " &amp; IFERROR(TEXT(TODAY(),"[$-0809]"&amp;"DD.MM.YY"),TEXT(TODAY(),"[$-0809]"&amp;"TT.MM.JJ")))</f>
        <v>Yearly balance by
   eom      14.12.19</v>
      </c>
      <c r="AP10" s="489"/>
      <c r="AQ10" s="201"/>
    </row>
    <row r="11" spans="1:43" s="59" customFormat="1" ht="12" hidden="1" customHeight="1" x14ac:dyDescent="0.2">
      <c r="A11" s="196" t="s">
        <v>163</v>
      </c>
      <c r="B11" s="202">
        <f t="shared" ref="B11:AF11" ca="1" si="3">IFERROR(OFFSET(T.Feiertage.Bereich,MATCH(B$10,T.Feiertage.Bereich,0)-1,1,1,1),1)</f>
        <v>0</v>
      </c>
      <c r="C11" s="202">
        <f t="shared" ca="1" si="3"/>
        <v>1</v>
      </c>
      <c r="D11" s="202">
        <f t="shared" ca="1" si="3"/>
        <v>1</v>
      </c>
      <c r="E11" s="203">
        <f t="shared" ca="1" si="3"/>
        <v>1</v>
      </c>
      <c r="F11" s="202">
        <f t="shared" ca="1" si="3"/>
        <v>1</v>
      </c>
      <c r="G11" s="202">
        <f t="shared" ca="1" si="3"/>
        <v>1</v>
      </c>
      <c r="H11" s="202">
        <f t="shared" ca="1" si="3"/>
        <v>1</v>
      </c>
      <c r="I11" s="202">
        <f t="shared" ca="1" si="3"/>
        <v>1</v>
      </c>
      <c r="J11" s="203">
        <f t="shared" ca="1" si="3"/>
        <v>1</v>
      </c>
      <c r="K11" s="202">
        <f t="shared" ca="1" si="3"/>
        <v>1</v>
      </c>
      <c r="L11" s="203">
        <f t="shared" ca="1" si="3"/>
        <v>1</v>
      </c>
      <c r="M11" s="202">
        <f t="shared" ca="1" si="3"/>
        <v>1</v>
      </c>
      <c r="N11" s="202">
        <f t="shared" ca="1" si="3"/>
        <v>1</v>
      </c>
      <c r="O11" s="202">
        <f t="shared" ca="1" si="3"/>
        <v>1</v>
      </c>
      <c r="P11" s="202">
        <f t="shared" ca="1" si="3"/>
        <v>1</v>
      </c>
      <c r="Q11" s="203">
        <f t="shared" ca="1" si="3"/>
        <v>1</v>
      </c>
      <c r="R11" s="202">
        <f t="shared" ca="1" si="3"/>
        <v>1</v>
      </c>
      <c r="S11" s="203">
        <f t="shared" ca="1" si="3"/>
        <v>1</v>
      </c>
      <c r="T11" s="203">
        <f t="shared" ca="1" si="3"/>
        <v>1</v>
      </c>
      <c r="U11" s="202">
        <f t="shared" ca="1" si="3"/>
        <v>1</v>
      </c>
      <c r="V11" s="202">
        <f t="shared" ca="1" si="3"/>
        <v>1</v>
      </c>
      <c r="W11" s="202">
        <f t="shared" ca="1" si="3"/>
        <v>1</v>
      </c>
      <c r="X11" s="203">
        <f t="shared" ca="1" si="3"/>
        <v>1</v>
      </c>
      <c r="Y11" s="202">
        <f t="shared" ca="1" si="3"/>
        <v>1</v>
      </c>
      <c r="Z11" s="204">
        <f t="shared" ca="1" si="3"/>
        <v>1</v>
      </c>
      <c r="AA11" s="202">
        <f t="shared" ca="1" si="3"/>
        <v>1</v>
      </c>
      <c r="AB11" s="202">
        <f t="shared" ca="1" si="3"/>
        <v>1</v>
      </c>
      <c r="AC11" s="202">
        <f t="shared" ca="1" si="3"/>
        <v>1</v>
      </c>
      <c r="AD11" s="202">
        <f t="shared" ca="1" si="3"/>
        <v>1</v>
      </c>
      <c r="AE11" s="203">
        <f t="shared" ca="1" si="3"/>
        <v>1</v>
      </c>
      <c r="AF11" s="202">
        <f t="shared" ca="1" si="3"/>
        <v>1</v>
      </c>
      <c r="AG11" s="205"/>
      <c r="AH11" s="188"/>
      <c r="AI11" s="206"/>
      <c r="AJ11" s="207"/>
      <c r="AK11" s="208"/>
      <c r="AL11" s="209"/>
      <c r="AM11" s="209"/>
      <c r="AN11" s="208"/>
      <c r="AO11" s="209"/>
      <c r="AP11" s="209"/>
      <c r="AQ11" s="201"/>
    </row>
    <row r="12" spans="1:43" s="59" customFormat="1" ht="12" hidden="1" customHeight="1" x14ac:dyDescent="0.2">
      <c r="A12" s="196" t="s">
        <v>169</v>
      </c>
      <c r="B12" s="210">
        <f t="shared" ref="B12:AF12" si="4">IF(OR(AND(ISNUMBER(EB.UJEintritt),EB.UJEintritt&gt;=B$10+1),AND(ISNUMBER(EB.UJAustritt),EB.UJAustritt&lt;=B$10-1)),0,1)</f>
        <v>1</v>
      </c>
      <c r="C12" s="210">
        <f t="shared" si="4"/>
        <v>1</v>
      </c>
      <c r="D12" s="210">
        <f t="shared" si="4"/>
        <v>1</v>
      </c>
      <c r="E12" s="195">
        <f t="shared" si="4"/>
        <v>1</v>
      </c>
      <c r="F12" s="210">
        <f t="shared" si="4"/>
        <v>1</v>
      </c>
      <c r="G12" s="210">
        <f t="shared" si="4"/>
        <v>1</v>
      </c>
      <c r="H12" s="210">
        <f t="shared" si="4"/>
        <v>1</v>
      </c>
      <c r="I12" s="210">
        <f t="shared" si="4"/>
        <v>1</v>
      </c>
      <c r="J12" s="195">
        <f t="shared" si="4"/>
        <v>1</v>
      </c>
      <c r="K12" s="210">
        <f t="shared" si="4"/>
        <v>1</v>
      </c>
      <c r="L12" s="195">
        <f t="shared" si="4"/>
        <v>1</v>
      </c>
      <c r="M12" s="210">
        <f t="shared" si="4"/>
        <v>1</v>
      </c>
      <c r="N12" s="210">
        <f t="shared" si="4"/>
        <v>1</v>
      </c>
      <c r="O12" s="210">
        <f t="shared" si="4"/>
        <v>1</v>
      </c>
      <c r="P12" s="210">
        <f t="shared" si="4"/>
        <v>1</v>
      </c>
      <c r="Q12" s="195">
        <f t="shared" si="4"/>
        <v>1</v>
      </c>
      <c r="R12" s="210">
        <f t="shared" si="4"/>
        <v>1</v>
      </c>
      <c r="S12" s="195">
        <f t="shared" si="4"/>
        <v>1</v>
      </c>
      <c r="T12" s="195">
        <f t="shared" si="4"/>
        <v>1</v>
      </c>
      <c r="U12" s="210">
        <f t="shared" si="4"/>
        <v>1</v>
      </c>
      <c r="V12" s="210">
        <f t="shared" si="4"/>
        <v>1</v>
      </c>
      <c r="W12" s="210">
        <f t="shared" si="4"/>
        <v>1</v>
      </c>
      <c r="X12" s="195">
        <f t="shared" si="4"/>
        <v>1</v>
      </c>
      <c r="Y12" s="210">
        <f t="shared" si="4"/>
        <v>1</v>
      </c>
      <c r="Z12" s="211">
        <f t="shared" si="4"/>
        <v>1</v>
      </c>
      <c r="AA12" s="210">
        <f t="shared" si="4"/>
        <v>1</v>
      </c>
      <c r="AB12" s="210">
        <f t="shared" si="4"/>
        <v>1</v>
      </c>
      <c r="AC12" s="210">
        <f t="shared" si="4"/>
        <v>1</v>
      </c>
      <c r="AD12" s="210">
        <f t="shared" si="4"/>
        <v>1</v>
      </c>
      <c r="AE12" s="195">
        <f t="shared" si="4"/>
        <v>1</v>
      </c>
      <c r="AF12" s="210">
        <f t="shared" si="4"/>
        <v>1</v>
      </c>
      <c r="AG12" s="205"/>
      <c r="AH12" s="188"/>
      <c r="AI12" s="206"/>
      <c r="AJ12" s="207"/>
      <c r="AK12" s="208"/>
      <c r="AL12" s="209"/>
      <c r="AM12" s="209"/>
      <c r="AN12" s="208"/>
      <c r="AO12" s="209"/>
      <c r="AP12" s="209"/>
      <c r="AQ12" s="201"/>
    </row>
    <row r="13" spans="1:43" s="38" customFormat="1" ht="15" customHeight="1" x14ac:dyDescent="0.2">
      <c r="A13" s="212" t="s">
        <v>74</v>
      </c>
      <c r="B13" s="40"/>
      <c r="C13" s="40"/>
      <c r="D13" s="40"/>
      <c r="E13" s="27"/>
      <c r="F13" s="40"/>
      <c r="G13" s="40"/>
      <c r="H13" s="40"/>
      <c r="I13" s="40"/>
      <c r="J13" s="27"/>
      <c r="K13" s="40"/>
      <c r="L13" s="27"/>
      <c r="M13" s="40"/>
      <c r="N13" s="40"/>
      <c r="O13" s="40"/>
      <c r="P13" s="40"/>
      <c r="Q13" s="27"/>
      <c r="R13" s="40"/>
      <c r="S13" s="27"/>
      <c r="T13" s="27"/>
      <c r="U13" s="40"/>
      <c r="V13" s="40"/>
      <c r="W13" s="40"/>
      <c r="X13" s="27"/>
      <c r="Y13" s="40"/>
      <c r="Z13" s="39"/>
      <c r="AA13" s="40"/>
      <c r="AB13" s="40"/>
      <c r="AC13" s="40"/>
      <c r="AD13" s="40"/>
      <c r="AE13" s="27"/>
      <c r="AF13" s="40"/>
      <c r="AG13" s="205" t="str">
        <f t="shared" si="2"/>
        <v>in</v>
      </c>
      <c r="AH13" s="188"/>
      <c r="AI13" s="206"/>
      <c r="AJ13" s="207"/>
      <c r="AK13" s="208"/>
      <c r="AL13" s="209"/>
      <c r="AM13" s="209"/>
      <c r="AN13" s="208"/>
      <c r="AO13" s="209"/>
      <c r="AP13" s="209"/>
      <c r="AQ13" s="119"/>
    </row>
    <row r="14" spans="1:43" s="38" customFormat="1" ht="15" customHeight="1" x14ac:dyDescent="0.2">
      <c r="A14" s="212" t="s">
        <v>75</v>
      </c>
      <c r="B14" s="40"/>
      <c r="C14" s="40"/>
      <c r="D14" s="40"/>
      <c r="E14" s="27"/>
      <c r="F14" s="40"/>
      <c r="G14" s="40"/>
      <c r="H14" s="40"/>
      <c r="I14" s="40"/>
      <c r="J14" s="27"/>
      <c r="K14" s="40"/>
      <c r="L14" s="27"/>
      <c r="M14" s="40"/>
      <c r="N14" s="40"/>
      <c r="O14" s="40"/>
      <c r="P14" s="40"/>
      <c r="Q14" s="27"/>
      <c r="R14" s="40"/>
      <c r="S14" s="27"/>
      <c r="T14" s="27"/>
      <c r="U14" s="40"/>
      <c r="V14" s="40"/>
      <c r="W14" s="40"/>
      <c r="X14" s="27"/>
      <c r="Y14" s="40"/>
      <c r="Z14" s="39"/>
      <c r="AA14" s="40"/>
      <c r="AB14" s="40"/>
      <c r="AC14" s="40"/>
      <c r="AD14" s="40"/>
      <c r="AE14" s="27"/>
      <c r="AF14" s="40"/>
      <c r="AG14" s="205" t="str">
        <f t="shared" si="2"/>
        <v>out</v>
      </c>
      <c r="AH14" s="188"/>
      <c r="AI14" s="206"/>
      <c r="AJ14" s="207"/>
      <c r="AK14" s="208"/>
      <c r="AL14" s="209"/>
      <c r="AM14" s="209"/>
      <c r="AN14" s="208"/>
      <c r="AO14" s="209"/>
      <c r="AP14" s="209"/>
      <c r="AQ14" s="119"/>
    </row>
    <row r="15" spans="1:43" s="38" customFormat="1" ht="15" customHeight="1" x14ac:dyDescent="0.2">
      <c r="A15" s="212" t="s">
        <v>74</v>
      </c>
      <c r="B15" s="40"/>
      <c r="C15" s="40"/>
      <c r="D15" s="40"/>
      <c r="E15" s="27"/>
      <c r="F15" s="40"/>
      <c r="G15" s="40"/>
      <c r="H15" s="40"/>
      <c r="I15" s="40"/>
      <c r="J15" s="27"/>
      <c r="K15" s="40"/>
      <c r="L15" s="27"/>
      <c r="M15" s="40"/>
      <c r="N15" s="40"/>
      <c r="O15" s="40"/>
      <c r="P15" s="40"/>
      <c r="Q15" s="27"/>
      <c r="R15" s="40"/>
      <c r="S15" s="27"/>
      <c r="T15" s="27"/>
      <c r="U15" s="40"/>
      <c r="V15" s="40"/>
      <c r="W15" s="40"/>
      <c r="X15" s="27"/>
      <c r="Y15" s="40"/>
      <c r="Z15" s="39"/>
      <c r="AA15" s="40"/>
      <c r="AB15" s="40"/>
      <c r="AC15" s="40"/>
      <c r="AD15" s="40"/>
      <c r="AE15" s="27"/>
      <c r="AF15" s="40"/>
      <c r="AG15" s="205" t="str">
        <f t="shared" si="2"/>
        <v>in</v>
      </c>
      <c r="AH15" s="188"/>
      <c r="AI15" s="206"/>
      <c r="AJ15" s="207"/>
      <c r="AK15" s="208"/>
      <c r="AL15" s="209"/>
      <c r="AM15" s="209"/>
      <c r="AN15" s="208"/>
      <c r="AO15" s="209"/>
      <c r="AP15" s="209"/>
      <c r="AQ15" s="119"/>
    </row>
    <row r="16" spans="1:43" s="38" customFormat="1" ht="15" customHeight="1" x14ac:dyDescent="0.2">
      <c r="A16" s="212" t="s">
        <v>75</v>
      </c>
      <c r="B16" s="40"/>
      <c r="C16" s="40"/>
      <c r="D16" s="40"/>
      <c r="E16" s="27"/>
      <c r="F16" s="40"/>
      <c r="G16" s="40"/>
      <c r="H16" s="40"/>
      <c r="I16" s="40"/>
      <c r="J16" s="27"/>
      <c r="K16" s="40"/>
      <c r="L16" s="27"/>
      <c r="M16" s="40"/>
      <c r="N16" s="40"/>
      <c r="O16" s="40"/>
      <c r="P16" s="40"/>
      <c r="Q16" s="27"/>
      <c r="R16" s="40"/>
      <c r="S16" s="27"/>
      <c r="T16" s="27"/>
      <c r="U16" s="40"/>
      <c r="V16" s="40"/>
      <c r="W16" s="40"/>
      <c r="X16" s="27"/>
      <c r="Y16" s="40"/>
      <c r="Z16" s="39"/>
      <c r="AA16" s="40"/>
      <c r="AB16" s="40"/>
      <c r="AC16" s="40"/>
      <c r="AD16" s="40"/>
      <c r="AE16" s="27"/>
      <c r="AF16" s="40"/>
      <c r="AG16" s="205" t="str">
        <f t="shared" si="2"/>
        <v>out</v>
      </c>
      <c r="AH16" s="188"/>
      <c r="AI16" s="213"/>
      <c r="AJ16" s="214"/>
      <c r="AK16" s="209"/>
      <c r="AL16" s="209"/>
      <c r="AM16" s="209"/>
      <c r="AN16" s="208"/>
      <c r="AO16" s="209"/>
      <c r="AP16" s="209"/>
      <c r="AQ16" s="119"/>
    </row>
    <row r="17" spans="1:43" s="38" customFormat="1" ht="15" customHeight="1" x14ac:dyDescent="0.2">
      <c r="A17" s="212" t="s">
        <v>74</v>
      </c>
      <c r="B17" s="40"/>
      <c r="C17" s="40"/>
      <c r="D17" s="40"/>
      <c r="E17" s="27"/>
      <c r="F17" s="40"/>
      <c r="G17" s="40"/>
      <c r="H17" s="40"/>
      <c r="I17" s="40"/>
      <c r="J17" s="27"/>
      <c r="K17" s="40"/>
      <c r="L17" s="27"/>
      <c r="M17" s="40"/>
      <c r="N17" s="40"/>
      <c r="O17" s="40"/>
      <c r="P17" s="40"/>
      <c r="Q17" s="27"/>
      <c r="R17" s="40"/>
      <c r="S17" s="27"/>
      <c r="T17" s="27"/>
      <c r="U17" s="40"/>
      <c r="V17" s="40"/>
      <c r="W17" s="40"/>
      <c r="X17" s="27"/>
      <c r="Y17" s="40"/>
      <c r="Z17" s="39"/>
      <c r="AA17" s="40"/>
      <c r="AB17" s="40"/>
      <c r="AC17" s="40"/>
      <c r="AD17" s="40"/>
      <c r="AE17" s="27"/>
      <c r="AF17" s="40"/>
      <c r="AG17" s="205" t="str">
        <f t="shared" si="2"/>
        <v>in</v>
      </c>
      <c r="AH17" s="188"/>
      <c r="AI17" s="213"/>
      <c r="AJ17" s="214"/>
      <c r="AK17" s="209"/>
      <c r="AL17" s="209"/>
      <c r="AM17" s="209"/>
      <c r="AN17" s="208"/>
      <c r="AO17" s="209"/>
      <c r="AP17" s="209"/>
      <c r="AQ17" s="119"/>
    </row>
    <row r="18" spans="1:43" s="38" customFormat="1" ht="15" customHeight="1" x14ac:dyDescent="0.2">
      <c r="A18" s="212" t="s">
        <v>75</v>
      </c>
      <c r="B18" s="40"/>
      <c r="C18" s="40"/>
      <c r="D18" s="40"/>
      <c r="E18" s="27"/>
      <c r="F18" s="40"/>
      <c r="G18" s="40"/>
      <c r="H18" s="40"/>
      <c r="I18" s="40"/>
      <c r="J18" s="27"/>
      <c r="K18" s="40"/>
      <c r="L18" s="27"/>
      <c r="M18" s="40"/>
      <c r="N18" s="40"/>
      <c r="O18" s="40"/>
      <c r="P18" s="40"/>
      <c r="Q18" s="27"/>
      <c r="R18" s="40"/>
      <c r="S18" s="27"/>
      <c r="T18" s="27"/>
      <c r="U18" s="40"/>
      <c r="V18" s="40"/>
      <c r="W18" s="40"/>
      <c r="X18" s="27"/>
      <c r="Y18" s="40"/>
      <c r="Z18" s="39"/>
      <c r="AA18" s="40"/>
      <c r="AB18" s="40"/>
      <c r="AC18" s="40"/>
      <c r="AD18" s="40"/>
      <c r="AE18" s="27"/>
      <c r="AF18" s="40"/>
      <c r="AG18" s="205" t="str">
        <f t="shared" si="2"/>
        <v>out</v>
      </c>
      <c r="AH18" s="188"/>
      <c r="AI18" s="213"/>
      <c r="AJ18" s="214"/>
      <c r="AK18" s="209"/>
      <c r="AL18" s="209"/>
      <c r="AM18" s="209"/>
      <c r="AN18" s="208"/>
      <c r="AO18" s="209"/>
      <c r="AP18" s="209"/>
      <c r="AQ18" s="119"/>
    </row>
    <row r="19" spans="1:43" s="38" customFormat="1" ht="15" hidden="1" customHeight="1" outlineLevel="1" x14ac:dyDescent="0.2">
      <c r="A19" s="212" t="s">
        <v>74</v>
      </c>
      <c r="B19" s="40"/>
      <c r="C19" s="40"/>
      <c r="D19" s="40"/>
      <c r="E19" s="27"/>
      <c r="F19" s="40"/>
      <c r="G19" s="40"/>
      <c r="H19" s="40"/>
      <c r="I19" s="40"/>
      <c r="J19" s="27"/>
      <c r="K19" s="40"/>
      <c r="L19" s="27"/>
      <c r="M19" s="40"/>
      <c r="N19" s="40"/>
      <c r="O19" s="40"/>
      <c r="P19" s="40"/>
      <c r="Q19" s="27"/>
      <c r="R19" s="40"/>
      <c r="S19" s="27"/>
      <c r="T19" s="27"/>
      <c r="U19" s="40"/>
      <c r="V19" s="40"/>
      <c r="W19" s="40"/>
      <c r="X19" s="27"/>
      <c r="Y19" s="40"/>
      <c r="Z19" s="39"/>
      <c r="AA19" s="40"/>
      <c r="AB19" s="40"/>
      <c r="AC19" s="40"/>
      <c r="AD19" s="40"/>
      <c r="AE19" s="27"/>
      <c r="AF19" s="40"/>
      <c r="AG19" s="205" t="str">
        <f t="shared" si="2"/>
        <v>in</v>
      </c>
      <c r="AH19" s="188"/>
      <c r="AI19" s="213"/>
      <c r="AJ19" s="214"/>
      <c r="AK19" s="209"/>
      <c r="AL19" s="209"/>
      <c r="AM19" s="209"/>
      <c r="AN19" s="208"/>
      <c r="AO19" s="209"/>
      <c r="AP19" s="209"/>
      <c r="AQ19" s="119"/>
    </row>
    <row r="20" spans="1:43" s="38" customFormat="1" ht="15" hidden="1" customHeight="1" outlineLevel="1" x14ac:dyDescent="0.2">
      <c r="A20" s="212" t="s">
        <v>75</v>
      </c>
      <c r="B20" s="40"/>
      <c r="C20" s="40"/>
      <c r="D20" s="40"/>
      <c r="E20" s="27"/>
      <c r="F20" s="40"/>
      <c r="G20" s="40"/>
      <c r="H20" s="40"/>
      <c r="I20" s="40"/>
      <c r="J20" s="27"/>
      <c r="K20" s="40"/>
      <c r="L20" s="27"/>
      <c r="M20" s="40"/>
      <c r="N20" s="40"/>
      <c r="O20" s="40"/>
      <c r="P20" s="40"/>
      <c r="Q20" s="27"/>
      <c r="R20" s="40"/>
      <c r="S20" s="27"/>
      <c r="T20" s="27"/>
      <c r="U20" s="40"/>
      <c r="V20" s="40"/>
      <c r="W20" s="40"/>
      <c r="X20" s="27"/>
      <c r="Y20" s="40"/>
      <c r="Z20" s="39"/>
      <c r="AA20" s="40"/>
      <c r="AB20" s="40"/>
      <c r="AC20" s="40"/>
      <c r="AD20" s="40"/>
      <c r="AE20" s="27"/>
      <c r="AF20" s="40"/>
      <c r="AG20" s="205" t="str">
        <f t="shared" si="2"/>
        <v>out</v>
      </c>
      <c r="AH20" s="188"/>
      <c r="AI20" s="213"/>
      <c r="AJ20" s="214"/>
      <c r="AK20" s="209"/>
      <c r="AL20" s="209"/>
      <c r="AM20" s="209"/>
      <c r="AN20" s="208"/>
      <c r="AO20" s="209"/>
      <c r="AP20" s="209"/>
      <c r="AQ20" s="119"/>
    </row>
    <row r="21" spans="1:43" s="38" customFormat="1" ht="15" hidden="1" customHeight="1" outlineLevel="1" x14ac:dyDescent="0.2">
      <c r="A21" s="212" t="s">
        <v>74</v>
      </c>
      <c r="B21" s="40"/>
      <c r="C21" s="40"/>
      <c r="D21" s="40"/>
      <c r="E21" s="27"/>
      <c r="F21" s="40"/>
      <c r="G21" s="40"/>
      <c r="H21" s="40"/>
      <c r="I21" s="40"/>
      <c r="J21" s="27"/>
      <c r="K21" s="40"/>
      <c r="L21" s="27"/>
      <c r="M21" s="40"/>
      <c r="N21" s="40"/>
      <c r="O21" s="40"/>
      <c r="P21" s="40"/>
      <c r="Q21" s="27"/>
      <c r="R21" s="40"/>
      <c r="S21" s="27"/>
      <c r="T21" s="27"/>
      <c r="U21" s="40"/>
      <c r="V21" s="40"/>
      <c r="W21" s="40"/>
      <c r="X21" s="27"/>
      <c r="Y21" s="40"/>
      <c r="Z21" s="39"/>
      <c r="AA21" s="40"/>
      <c r="AB21" s="40"/>
      <c r="AC21" s="40"/>
      <c r="AD21" s="40"/>
      <c r="AE21" s="27"/>
      <c r="AF21" s="40"/>
      <c r="AG21" s="205" t="str">
        <f t="shared" si="2"/>
        <v>in</v>
      </c>
      <c r="AH21" s="188"/>
      <c r="AI21" s="213"/>
      <c r="AJ21" s="214"/>
      <c r="AK21" s="209"/>
      <c r="AL21" s="209"/>
      <c r="AM21" s="209"/>
      <c r="AN21" s="208"/>
      <c r="AO21" s="209"/>
      <c r="AP21" s="209"/>
      <c r="AQ21" s="119"/>
    </row>
    <row r="22" spans="1:43" s="38" customFormat="1" ht="15" hidden="1" customHeight="1" outlineLevel="1" x14ac:dyDescent="0.2">
      <c r="A22" s="212" t="s">
        <v>75</v>
      </c>
      <c r="B22" s="40"/>
      <c r="C22" s="40"/>
      <c r="D22" s="40"/>
      <c r="E22" s="27"/>
      <c r="F22" s="40"/>
      <c r="G22" s="40"/>
      <c r="H22" s="40"/>
      <c r="I22" s="40"/>
      <c r="J22" s="27"/>
      <c r="K22" s="40"/>
      <c r="L22" s="27"/>
      <c r="M22" s="40"/>
      <c r="N22" s="40"/>
      <c r="O22" s="40"/>
      <c r="P22" s="40"/>
      <c r="Q22" s="27"/>
      <c r="R22" s="40"/>
      <c r="S22" s="27"/>
      <c r="T22" s="27"/>
      <c r="U22" s="40"/>
      <c r="V22" s="40"/>
      <c r="W22" s="40"/>
      <c r="X22" s="27"/>
      <c r="Y22" s="40"/>
      <c r="Z22" s="39"/>
      <c r="AA22" s="40"/>
      <c r="AB22" s="40"/>
      <c r="AC22" s="40"/>
      <c r="AD22" s="40"/>
      <c r="AE22" s="27"/>
      <c r="AF22" s="40"/>
      <c r="AG22" s="205" t="str">
        <f t="shared" si="2"/>
        <v>out</v>
      </c>
      <c r="AH22" s="188"/>
      <c r="AI22" s="213"/>
      <c r="AJ22" s="214"/>
      <c r="AK22" s="209"/>
      <c r="AL22" s="209"/>
      <c r="AM22" s="209"/>
      <c r="AN22" s="208"/>
      <c r="AO22" s="209"/>
      <c r="AP22" s="209"/>
      <c r="AQ22" s="119"/>
    </row>
    <row r="23" spans="1:43" s="38" customFormat="1" ht="15" customHeight="1" collapsed="1" x14ac:dyDescent="0.2">
      <c r="A23" s="215" t="s">
        <v>204</v>
      </c>
      <c r="B23" s="216">
        <f>ROUND(((B14-B13)+(B16-B15)+(B18-B17)+(B20-B19)+(B22-B21))*1440,0)/1440</f>
        <v>0</v>
      </c>
      <c r="C23" s="216">
        <f t="shared" ref="C23:AF23" si="5">ROUND(((C14-C13)+(C16-C15)+(C18-C17)+(C20-C19)+(C22-C21))*1440,0)/1440</f>
        <v>0</v>
      </c>
      <c r="D23" s="216">
        <f t="shared" si="5"/>
        <v>0</v>
      </c>
      <c r="E23" s="216">
        <f t="shared" si="5"/>
        <v>0</v>
      </c>
      <c r="F23" s="216">
        <f t="shared" si="5"/>
        <v>0</v>
      </c>
      <c r="G23" s="216">
        <f t="shared" si="5"/>
        <v>0</v>
      </c>
      <c r="H23" s="216">
        <f t="shared" si="5"/>
        <v>0</v>
      </c>
      <c r="I23" s="216">
        <f t="shared" si="5"/>
        <v>0</v>
      </c>
      <c r="J23" s="216">
        <f t="shared" si="5"/>
        <v>0</v>
      </c>
      <c r="K23" s="216">
        <f t="shared" si="5"/>
        <v>0</v>
      </c>
      <c r="L23" s="216">
        <f t="shared" si="5"/>
        <v>0</v>
      </c>
      <c r="M23" s="216">
        <f t="shared" si="5"/>
        <v>0</v>
      </c>
      <c r="N23" s="216">
        <f t="shared" si="5"/>
        <v>0</v>
      </c>
      <c r="O23" s="216">
        <f t="shared" si="5"/>
        <v>0</v>
      </c>
      <c r="P23" s="216">
        <f t="shared" si="5"/>
        <v>0</v>
      </c>
      <c r="Q23" s="216">
        <f t="shared" si="5"/>
        <v>0</v>
      </c>
      <c r="R23" s="216">
        <f t="shared" si="5"/>
        <v>0</v>
      </c>
      <c r="S23" s="216">
        <f t="shared" si="5"/>
        <v>0</v>
      </c>
      <c r="T23" s="216">
        <f t="shared" si="5"/>
        <v>0</v>
      </c>
      <c r="U23" s="216">
        <f t="shared" si="5"/>
        <v>0</v>
      </c>
      <c r="V23" s="216">
        <f t="shared" si="5"/>
        <v>0</v>
      </c>
      <c r="W23" s="216">
        <f t="shared" si="5"/>
        <v>0</v>
      </c>
      <c r="X23" s="216">
        <f t="shared" si="5"/>
        <v>0</v>
      </c>
      <c r="Y23" s="216">
        <f t="shared" si="5"/>
        <v>0</v>
      </c>
      <c r="Z23" s="216">
        <f t="shared" si="5"/>
        <v>0</v>
      </c>
      <c r="AA23" s="216">
        <f t="shared" si="5"/>
        <v>0</v>
      </c>
      <c r="AB23" s="216">
        <f t="shared" si="5"/>
        <v>0</v>
      </c>
      <c r="AC23" s="216">
        <f t="shared" si="5"/>
        <v>0</v>
      </c>
      <c r="AD23" s="216">
        <f t="shared" si="5"/>
        <v>0</v>
      </c>
      <c r="AE23" s="216">
        <f t="shared" si="5"/>
        <v>0</v>
      </c>
      <c r="AF23" s="216">
        <f t="shared" si="5"/>
        <v>0</v>
      </c>
      <c r="AG23" s="217" t="str">
        <f t="shared" si="2"/>
        <v>Total in/out</v>
      </c>
      <c r="AH23" s="218"/>
      <c r="AI23" s="219">
        <f>SUM(B23:AF23)</f>
        <v>0</v>
      </c>
      <c r="AJ23" s="214"/>
      <c r="AK23" s="209"/>
      <c r="AL23" s="209"/>
      <c r="AM23" s="209"/>
      <c r="AN23" s="208"/>
      <c r="AO23" s="209"/>
      <c r="AP23" s="209"/>
      <c r="AQ23" s="119"/>
    </row>
    <row r="24" spans="1:43" s="38" customFormat="1" ht="3.75" hidden="1" customHeight="1" outlineLevel="1" x14ac:dyDescent="0.2">
      <c r="A24" s="220"/>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2"/>
      <c r="AG24" s="205"/>
      <c r="AH24" s="188"/>
      <c r="AI24" s="213"/>
      <c r="AJ24" s="214"/>
      <c r="AK24" s="209"/>
      <c r="AL24" s="209"/>
      <c r="AM24" s="209"/>
      <c r="AN24" s="208"/>
      <c r="AO24" s="209"/>
      <c r="AP24" s="209"/>
      <c r="AQ24" s="119"/>
    </row>
    <row r="25" spans="1:43" s="38" customFormat="1" ht="15" hidden="1" customHeight="1" outlineLevel="1" x14ac:dyDescent="0.2">
      <c r="A25" s="212" t="s">
        <v>164</v>
      </c>
      <c r="B25" s="40"/>
      <c r="C25" s="40"/>
      <c r="D25" s="40"/>
      <c r="E25" s="77"/>
      <c r="F25" s="40"/>
      <c r="G25" s="40"/>
      <c r="H25" s="40"/>
      <c r="I25" s="40"/>
      <c r="J25" s="40"/>
      <c r="K25" s="40"/>
      <c r="L25" s="40"/>
      <c r="M25" s="40"/>
      <c r="N25" s="40"/>
      <c r="O25" s="40"/>
      <c r="P25" s="40"/>
      <c r="Q25" s="40"/>
      <c r="R25" s="40"/>
      <c r="S25" s="40"/>
      <c r="T25" s="40"/>
      <c r="U25" s="40"/>
      <c r="V25" s="40"/>
      <c r="W25" s="40"/>
      <c r="X25" s="40"/>
      <c r="Y25" s="40"/>
      <c r="Z25" s="47"/>
      <c r="AA25" s="40"/>
      <c r="AB25" s="40"/>
      <c r="AC25" s="40"/>
      <c r="AD25" s="40"/>
      <c r="AE25" s="40"/>
      <c r="AF25" s="40"/>
      <c r="AG25" s="205" t="str">
        <f t="shared" ref="AG25:AG30" si="6">A25</f>
        <v>paid break in</v>
      </c>
      <c r="AH25" s="188"/>
      <c r="AI25" s="213"/>
      <c r="AJ25" s="214"/>
      <c r="AK25" s="209"/>
      <c r="AL25" s="209"/>
      <c r="AM25" s="209"/>
      <c r="AN25" s="208"/>
      <c r="AO25" s="209"/>
      <c r="AP25" s="209"/>
      <c r="AQ25" s="119"/>
    </row>
    <row r="26" spans="1:43" s="38" customFormat="1" ht="15" hidden="1" customHeight="1" outlineLevel="1" x14ac:dyDescent="0.2">
      <c r="A26" s="212" t="s">
        <v>165</v>
      </c>
      <c r="B26" s="40"/>
      <c r="C26" s="40"/>
      <c r="D26" s="40"/>
      <c r="E26" s="40"/>
      <c r="F26" s="40"/>
      <c r="G26" s="40"/>
      <c r="H26" s="40"/>
      <c r="I26" s="40"/>
      <c r="J26" s="40"/>
      <c r="K26" s="40"/>
      <c r="L26" s="40"/>
      <c r="M26" s="40"/>
      <c r="N26" s="40"/>
      <c r="O26" s="40"/>
      <c r="P26" s="40"/>
      <c r="Q26" s="40"/>
      <c r="R26" s="40"/>
      <c r="S26" s="40"/>
      <c r="T26" s="40"/>
      <c r="U26" s="40"/>
      <c r="V26" s="40"/>
      <c r="W26" s="40"/>
      <c r="X26" s="40"/>
      <c r="Y26" s="40"/>
      <c r="Z26" s="47"/>
      <c r="AA26" s="40"/>
      <c r="AB26" s="40"/>
      <c r="AC26" s="40"/>
      <c r="AD26" s="40"/>
      <c r="AE26" s="40"/>
      <c r="AF26" s="40"/>
      <c r="AG26" s="205" t="str">
        <f t="shared" si="6"/>
        <v>paid break out</v>
      </c>
      <c r="AH26" s="188"/>
      <c r="AI26" s="213"/>
      <c r="AJ26" s="214"/>
      <c r="AK26" s="209"/>
      <c r="AL26" s="209"/>
      <c r="AM26" s="209"/>
      <c r="AN26" s="208"/>
      <c r="AO26" s="209"/>
      <c r="AP26" s="209"/>
      <c r="AQ26" s="119"/>
    </row>
    <row r="27" spans="1:43" s="38" customFormat="1" ht="15" hidden="1" customHeight="1" outlineLevel="1" x14ac:dyDescent="0.2">
      <c r="A27" s="212" t="s">
        <v>164</v>
      </c>
      <c r="B27" s="40"/>
      <c r="C27" s="40"/>
      <c r="D27" s="40"/>
      <c r="E27" s="40"/>
      <c r="F27" s="40"/>
      <c r="G27" s="40"/>
      <c r="H27" s="40"/>
      <c r="I27" s="40"/>
      <c r="J27" s="40"/>
      <c r="K27" s="40"/>
      <c r="L27" s="40"/>
      <c r="M27" s="40"/>
      <c r="N27" s="40"/>
      <c r="O27" s="40"/>
      <c r="P27" s="40"/>
      <c r="Q27" s="40"/>
      <c r="R27" s="40"/>
      <c r="S27" s="40"/>
      <c r="T27" s="40"/>
      <c r="U27" s="40"/>
      <c r="V27" s="40"/>
      <c r="W27" s="40"/>
      <c r="X27" s="40"/>
      <c r="Y27" s="40"/>
      <c r="Z27" s="47"/>
      <c r="AA27" s="40"/>
      <c r="AB27" s="40"/>
      <c r="AC27" s="40"/>
      <c r="AD27" s="40"/>
      <c r="AE27" s="40"/>
      <c r="AF27" s="40"/>
      <c r="AG27" s="205" t="str">
        <f t="shared" si="6"/>
        <v>paid break in</v>
      </c>
      <c r="AH27" s="188"/>
      <c r="AI27" s="213"/>
      <c r="AJ27" s="214"/>
      <c r="AK27" s="209"/>
      <c r="AL27" s="209"/>
      <c r="AM27" s="209"/>
      <c r="AN27" s="208"/>
      <c r="AO27" s="209"/>
      <c r="AP27" s="209"/>
      <c r="AQ27" s="119"/>
    </row>
    <row r="28" spans="1:43" s="38" customFormat="1" ht="15" hidden="1" customHeight="1" outlineLevel="1" x14ac:dyDescent="0.2">
      <c r="A28" s="212" t="s">
        <v>165</v>
      </c>
      <c r="B28" s="40"/>
      <c r="C28" s="40"/>
      <c r="D28" s="40"/>
      <c r="E28" s="40"/>
      <c r="F28" s="40"/>
      <c r="G28" s="40"/>
      <c r="H28" s="40"/>
      <c r="I28" s="40"/>
      <c r="J28" s="40"/>
      <c r="K28" s="40"/>
      <c r="L28" s="40"/>
      <c r="M28" s="40"/>
      <c r="N28" s="40"/>
      <c r="O28" s="40"/>
      <c r="P28" s="40"/>
      <c r="Q28" s="40"/>
      <c r="R28" s="40"/>
      <c r="S28" s="40"/>
      <c r="T28" s="40"/>
      <c r="U28" s="40"/>
      <c r="V28" s="40"/>
      <c r="W28" s="40"/>
      <c r="X28" s="40"/>
      <c r="Y28" s="40"/>
      <c r="Z28" s="47"/>
      <c r="AA28" s="40"/>
      <c r="AB28" s="40"/>
      <c r="AC28" s="40"/>
      <c r="AD28" s="40"/>
      <c r="AE28" s="40"/>
      <c r="AF28" s="40"/>
      <c r="AG28" s="205" t="str">
        <f t="shared" si="6"/>
        <v>paid break out</v>
      </c>
      <c r="AH28" s="188"/>
      <c r="AI28" s="213"/>
      <c r="AJ28" s="214"/>
      <c r="AK28" s="209"/>
      <c r="AL28" s="209"/>
      <c r="AM28" s="209"/>
      <c r="AN28" s="208"/>
      <c r="AO28" s="209"/>
      <c r="AP28" s="209"/>
      <c r="AQ28" s="119"/>
    </row>
    <row r="29" spans="1:43" s="38" customFormat="1" ht="15" hidden="1" customHeight="1" outlineLevel="1" x14ac:dyDescent="0.2">
      <c r="A29" s="212" t="s">
        <v>164</v>
      </c>
      <c r="B29" s="40"/>
      <c r="C29" s="40"/>
      <c r="D29" s="40"/>
      <c r="E29" s="40"/>
      <c r="F29" s="40"/>
      <c r="G29" s="40"/>
      <c r="H29" s="40"/>
      <c r="I29" s="40"/>
      <c r="J29" s="40"/>
      <c r="K29" s="40"/>
      <c r="L29" s="40"/>
      <c r="M29" s="40"/>
      <c r="N29" s="40"/>
      <c r="O29" s="40"/>
      <c r="P29" s="40"/>
      <c r="Q29" s="40"/>
      <c r="R29" s="40"/>
      <c r="S29" s="40"/>
      <c r="T29" s="40"/>
      <c r="U29" s="40"/>
      <c r="V29" s="40"/>
      <c r="W29" s="40"/>
      <c r="X29" s="40"/>
      <c r="Y29" s="40"/>
      <c r="Z29" s="47"/>
      <c r="AA29" s="40"/>
      <c r="AB29" s="40"/>
      <c r="AC29" s="40"/>
      <c r="AD29" s="40"/>
      <c r="AE29" s="40"/>
      <c r="AF29" s="40"/>
      <c r="AG29" s="205" t="str">
        <f t="shared" si="6"/>
        <v>paid break in</v>
      </c>
      <c r="AH29" s="188"/>
      <c r="AI29" s="213"/>
      <c r="AJ29" s="214"/>
      <c r="AK29" s="209"/>
      <c r="AL29" s="209"/>
      <c r="AM29" s="209"/>
      <c r="AN29" s="208"/>
      <c r="AO29" s="209"/>
      <c r="AP29" s="209"/>
      <c r="AQ29" s="119"/>
    </row>
    <row r="30" spans="1:43" s="38" customFormat="1" ht="15" hidden="1" customHeight="1" outlineLevel="1" x14ac:dyDescent="0.2">
      <c r="A30" s="212" t="s">
        <v>165</v>
      </c>
      <c r="B30" s="40"/>
      <c r="C30" s="40"/>
      <c r="D30" s="40"/>
      <c r="E30" s="40"/>
      <c r="F30" s="40"/>
      <c r="G30" s="40"/>
      <c r="H30" s="40"/>
      <c r="I30" s="40"/>
      <c r="J30" s="40"/>
      <c r="K30" s="40"/>
      <c r="L30" s="40"/>
      <c r="M30" s="40"/>
      <c r="N30" s="40"/>
      <c r="O30" s="40"/>
      <c r="P30" s="40"/>
      <c r="Q30" s="40"/>
      <c r="R30" s="40"/>
      <c r="S30" s="40"/>
      <c r="T30" s="40"/>
      <c r="U30" s="40"/>
      <c r="V30" s="40"/>
      <c r="W30" s="40"/>
      <c r="X30" s="40"/>
      <c r="Y30" s="40"/>
      <c r="Z30" s="47"/>
      <c r="AA30" s="40"/>
      <c r="AB30" s="40"/>
      <c r="AC30" s="40"/>
      <c r="AD30" s="40"/>
      <c r="AE30" s="40"/>
      <c r="AF30" s="40"/>
      <c r="AG30" s="205" t="str">
        <f t="shared" si="6"/>
        <v>paid break out</v>
      </c>
      <c r="AH30" s="188"/>
      <c r="AI30" s="213"/>
      <c r="AJ30" s="214"/>
      <c r="AK30" s="209"/>
      <c r="AL30" s="209"/>
      <c r="AM30" s="209"/>
      <c r="AN30" s="208"/>
      <c r="AO30" s="209"/>
      <c r="AP30" s="209"/>
      <c r="AQ30" s="119"/>
    </row>
    <row r="31" spans="1:43" s="38" customFormat="1" ht="3.75" hidden="1" customHeight="1" outlineLevel="1" x14ac:dyDescent="0.2">
      <c r="A31" s="220"/>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4"/>
      <c r="AG31" s="205"/>
      <c r="AH31" s="188"/>
      <c r="AI31" s="213"/>
      <c r="AJ31" s="214"/>
      <c r="AK31" s="209"/>
      <c r="AL31" s="209"/>
      <c r="AM31" s="209"/>
      <c r="AN31" s="208"/>
      <c r="AO31" s="209"/>
      <c r="AP31" s="209"/>
      <c r="AQ31" s="119"/>
    </row>
    <row r="32" spans="1:43" s="38" customFormat="1" ht="15" hidden="1" customHeight="1" outlineLevel="1" x14ac:dyDescent="0.2">
      <c r="A32" s="215" t="s">
        <v>205</v>
      </c>
      <c r="B32" s="225">
        <f>ROUND((IF(MAX(0,B15-B14)&lt;1/24/60*180,MAX(0,B15-B14),0)+IF(MAX(0,B17-B16)&lt;1/24/60*180,MAX(0,B17-B16),0)+IF(MAX(0,B19-B18)&lt;1/24/60*180,MAX(0,B19-B18),0)+IF(MAX(0,B21-B20)&lt;1/24/60*180,MAX(0,B21-B20))+MAX(0,B26-B25)+MAX(0,B28-B27)+MAX(0,B30-B29))*1440,0)/1440</f>
        <v>0</v>
      </c>
      <c r="C32" s="225">
        <f t="shared" ref="C32:AF32" si="7">ROUND((IF(MAX(0,C15-C14)&lt;1/24/60*180,MAX(0,C15-C14),0)+IF(MAX(0,C17-C16)&lt;1/24/60*180,MAX(0,C17-C16),0)+IF(MAX(0,C19-C18)&lt;1/24/60*180,MAX(0,C19-C18),0)+IF(MAX(0,C21-C20)&lt;1/24/60*180,MAX(0,C21-C20))+MAX(0,C26-C25)+MAX(0,C28-C27)+MAX(0,C30-C29))*1440,0)/1440</f>
        <v>0</v>
      </c>
      <c r="D32" s="225">
        <f t="shared" si="7"/>
        <v>0</v>
      </c>
      <c r="E32" s="225">
        <f t="shared" si="7"/>
        <v>0</v>
      </c>
      <c r="F32" s="225">
        <f t="shared" si="7"/>
        <v>0</v>
      </c>
      <c r="G32" s="225">
        <f t="shared" si="7"/>
        <v>0</v>
      </c>
      <c r="H32" s="225">
        <f t="shared" si="7"/>
        <v>0</v>
      </c>
      <c r="I32" s="225">
        <f t="shared" si="7"/>
        <v>0</v>
      </c>
      <c r="J32" s="225">
        <f t="shared" si="7"/>
        <v>0</v>
      </c>
      <c r="K32" s="225">
        <f t="shared" si="7"/>
        <v>0</v>
      </c>
      <c r="L32" s="225">
        <f t="shared" si="7"/>
        <v>0</v>
      </c>
      <c r="M32" s="225">
        <f t="shared" si="7"/>
        <v>0</v>
      </c>
      <c r="N32" s="225">
        <f t="shared" si="7"/>
        <v>0</v>
      </c>
      <c r="O32" s="225">
        <f t="shared" si="7"/>
        <v>0</v>
      </c>
      <c r="P32" s="225">
        <f t="shared" si="7"/>
        <v>0</v>
      </c>
      <c r="Q32" s="225">
        <f t="shared" si="7"/>
        <v>0</v>
      </c>
      <c r="R32" s="225">
        <f t="shared" si="7"/>
        <v>0</v>
      </c>
      <c r="S32" s="225">
        <f t="shared" si="7"/>
        <v>0</v>
      </c>
      <c r="T32" s="225">
        <f t="shared" si="7"/>
        <v>0</v>
      </c>
      <c r="U32" s="225">
        <f t="shared" si="7"/>
        <v>0</v>
      </c>
      <c r="V32" s="225">
        <f t="shared" si="7"/>
        <v>0</v>
      </c>
      <c r="W32" s="225">
        <f t="shared" si="7"/>
        <v>0</v>
      </c>
      <c r="X32" s="225">
        <f t="shared" si="7"/>
        <v>0</v>
      </c>
      <c r="Y32" s="225">
        <f t="shared" si="7"/>
        <v>0</v>
      </c>
      <c r="Z32" s="225">
        <f t="shared" si="7"/>
        <v>0</v>
      </c>
      <c r="AA32" s="225">
        <f t="shared" si="7"/>
        <v>0</v>
      </c>
      <c r="AB32" s="225">
        <f t="shared" si="7"/>
        <v>0</v>
      </c>
      <c r="AC32" s="225">
        <f t="shared" si="7"/>
        <v>0</v>
      </c>
      <c r="AD32" s="225">
        <f t="shared" si="7"/>
        <v>0</v>
      </c>
      <c r="AE32" s="225">
        <f t="shared" si="7"/>
        <v>0</v>
      </c>
      <c r="AF32" s="225">
        <f t="shared" si="7"/>
        <v>0</v>
      </c>
      <c r="AG32" s="217" t="str">
        <f t="shared" ref="AG32" si="8">A32</f>
        <v>Total breaks (in out/paid)</v>
      </c>
      <c r="AH32" s="218"/>
      <c r="AI32" s="219">
        <f>SUM(B32:AF32)</f>
        <v>0</v>
      </c>
      <c r="AJ32" s="214"/>
      <c r="AK32" s="209"/>
      <c r="AL32" s="209"/>
      <c r="AM32" s="209"/>
      <c r="AN32" s="208"/>
      <c r="AO32" s="209"/>
      <c r="AP32" s="209"/>
      <c r="AQ32" s="119"/>
    </row>
    <row r="33" spans="1:43" s="38" customFormat="1" ht="3.75" customHeight="1" collapsed="1" x14ac:dyDescent="0.2">
      <c r="A33" s="220"/>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7"/>
      <c r="AG33" s="205"/>
      <c r="AH33" s="188"/>
      <c r="AI33" s="213"/>
      <c r="AJ33" s="214"/>
      <c r="AK33" s="209"/>
      <c r="AL33" s="209"/>
      <c r="AM33" s="209"/>
      <c r="AN33" s="208"/>
      <c r="AO33" s="209"/>
      <c r="AP33" s="209"/>
      <c r="AQ33" s="119"/>
    </row>
    <row r="34" spans="1:43" s="38" customFormat="1" ht="15" customHeight="1" outlineLevel="1" x14ac:dyDescent="0.2">
      <c r="A34" s="212" t="s">
        <v>206</v>
      </c>
      <c r="B34" s="92" t="str">
        <f ca="1">IF(EB.Anwendung&lt;&gt;"",IF(EB.Wochenarbeitszeit=50/24,INDEX(T.Pikett.Bereich,1),IF(DAY(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34="B",INDEX(T.Pikett.Bereich,4),IF(A34="E",INDEX(T.Pikett.Bereich,1),A34)))),"")</f>
        <v>No</v>
      </c>
      <c r="C34" s="92" t="str">
        <f ca="1">IF(EB.Anwendung&lt;&gt;"",IF(EB.Wochenarbeitszeit=50/24,INDEX(T.Pikett.Bereich,1),IF(DAY(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B34="B",INDEX(T.Pikett.Bereich,4),IF(B34="E",INDEX(T.Pikett.Bereich,1),B34)))),"")</f>
        <v>No</v>
      </c>
      <c r="D34" s="92" t="str">
        <f ca="1">IF(EB.Anwendung&lt;&gt;"",IF(EB.Wochenarbeitszeit=50/24,INDEX(T.Pikett.Bereich,1),IF(DAY(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C34="B",INDEX(T.Pikett.Bereich,4),IF(C34="E",INDEX(T.Pikett.Bereich,1),C34)))),"")</f>
        <v>No</v>
      </c>
      <c r="E34" s="92" t="str">
        <f ca="1">IF(EB.Anwendung&lt;&gt;"",IF(EB.Wochenarbeitszeit=50/24,INDEX(T.Pikett.Bereich,1),IF(DAY(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D34="B",INDEX(T.Pikett.Bereich,4),IF(D34="E",INDEX(T.Pikett.Bereich,1),D34)))),"")</f>
        <v>No</v>
      </c>
      <c r="F34" s="92" t="str">
        <f ca="1">IF(EB.Anwendung&lt;&gt;"",IF(EB.Wochenarbeitszeit=50/24,INDEX(T.Pikett.Bereich,1),IF(DAY(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E34="B",INDEX(T.Pikett.Bereich,4),IF(E34="E",INDEX(T.Pikett.Bereich,1),E34)))),"")</f>
        <v>No</v>
      </c>
      <c r="G34" s="92" t="str">
        <f ca="1">IF(EB.Anwendung&lt;&gt;"",IF(EB.Wochenarbeitszeit=50/24,INDEX(T.Pikett.Bereich,1),IF(DAY(G$10)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F34="B",INDEX(T.Pikett.Bereich,4),IF(F34="E",INDEX(T.Pikett.Bereich,1),F34)))),"")</f>
        <v>No</v>
      </c>
      <c r="H34" s="92" t="str">
        <f ca="1">IF(EB.Anwendung&lt;&gt;"",IF(EB.Wochenarbeitszeit=50/24,INDEX(T.Pikett.Bereich,1),IF(DAY(H$10)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G34="B",INDEX(T.Pikett.Bereich,4),IF(G34="E",INDEX(T.Pikett.Bereich,1),G34)))),"")</f>
        <v>No</v>
      </c>
      <c r="I34" s="92" t="str">
        <f ca="1">IF(EB.Anwendung&lt;&gt;"",IF(EB.Wochenarbeitszeit=50/24,INDEX(T.Pikett.Bereich,1),IF(DAY(I$10)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H34="B",INDEX(T.Pikett.Bereich,4),IF(H34="E",INDEX(T.Pikett.Bereich,1),H34)))),"")</f>
        <v>No</v>
      </c>
      <c r="J34" s="92" t="str">
        <f ca="1">IF(EB.Anwendung&lt;&gt;"",IF(EB.Wochenarbeitszeit=50/24,INDEX(T.Pikett.Bereich,1),IF(DAY(J$10)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I34="B",INDEX(T.Pikett.Bereich,4),IF(I34="E",INDEX(T.Pikett.Bereich,1),I34)))),"")</f>
        <v>No</v>
      </c>
      <c r="K34" s="92" t="str">
        <f ca="1">IF(EB.Anwendung&lt;&gt;"",IF(EB.Wochenarbeitszeit=50/24,INDEX(T.Pikett.Bereich,1),IF(DAY(K$10)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J34="B",INDEX(T.Pikett.Bereich,4),IF(J34="E",INDEX(T.Pikett.Bereich,1),J34)))),"")</f>
        <v>No</v>
      </c>
      <c r="L34" s="92" t="str">
        <f ca="1">IF(EB.Anwendung&lt;&gt;"",IF(EB.Wochenarbeitszeit=50/24,INDEX(T.Pikett.Bereich,1),IF(DAY(L$10)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K34="B",INDEX(T.Pikett.Bereich,4),IF(K34="E",INDEX(T.Pikett.Bereich,1),K34)))),"")</f>
        <v>No</v>
      </c>
      <c r="M34" s="92" t="str">
        <f ca="1">IF(EB.Anwendung&lt;&gt;"",IF(EB.Wochenarbeitszeit=50/24,INDEX(T.Pikett.Bereich,1),IF(DAY(M$10)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L34="B",INDEX(T.Pikett.Bereich,4),IF(L34="E",INDEX(T.Pikett.Bereich,1),L34)))),"")</f>
        <v>No</v>
      </c>
      <c r="N34" s="92" t="str">
        <f ca="1">IF(EB.Anwendung&lt;&gt;"",IF(EB.Wochenarbeitszeit=50/24,INDEX(T.Pikett.Bereich,1),IF(DAY(N$10)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M34="B",INDEX(T.Pikett.Bereich,4),IF(M34="E",INDEX(T.Pikett.Bereich,1),M34)))),"")</f>
        <v>No</v>
      </c>
      <c r="O34" s="92" t="str">
        <f ca="1">IF(EB.Anwendung&lt;&gt;"",IF(EB.Wochenarbeitszeit=50/24,INDEX(T.Pikett.Bereich,1),IF(DAY(O$10)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N34="B",INDEX(T.Pikett.Bereich,4),IF(N34="E",INDEX(T.Pikett.Bereich,1),N34)))),"")</f>
        <v>No</v>
      </c>
      <c r="P34" s="92" t="str">
        <f ca="1">IF(EB.Anwendung&lt;&gt;"",IF(EB.Wochenarbeitszeit=50/24,INDEX(T.Pikett.Bereich,1),IF(DAY(P$10)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O34="B",INDEX(T.Pikett.Bereich,4),IF(O34="E",INDEX(T.Pikett.Bereich,1),O34)))),"")</f>
        <v>No</v>
      </c>
      <c r="Q34" s="92" t="str">
        <f ca="1">IF(EB.Anwendung&lt;&gt;"",IF(EB.Wochenarbeitszeit=50/24,INDEX(T.Pikett.Bereich,1),IF(DAY(Q$10)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P34="B",INDEX(T.Pikett.Bereich,4),IF(P34="E",INDEX(T.Pikett.Bereich,1),P34)))),"")</f>
        <v>No</v>
      </c>
      <c r="R34" s="92" t="str">
        <f ca="1">IF(EB.Anwendung&lt;&gt;"",IF(EB.Wochenarbeitszeit=50/24,INDEX(T.Pikett.Bereich,1),IF(DAY(R$10)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Q34="B",INDEX(T.Pikett.Bereich,4),IF(Q34="E",INDEX(T.Pikett.Bereich,1),Q34)))),"")</f>
        <v>No</v>
      </c>
      <c r="S34" s="92" t="str">
        <f ca="1">IF(EB.Anwendung&lt;&gt;"",IF(EB.Wochenarbeitszeit=50/24,INDEX(T.Pikett.Bereich,1),IF(DAY(S$10)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R34="B",INDEX(T.Pikett.Bereich,4),IF(R34="E",INDEX(T.Pikett.Bereich,1),R34)))),"")</f>
        <v>No</v>
      </c>
      <c r="T34" s="92" t="str">
        <f ca="1">IF(EB.Anwendung&lt;&gt;"",IF(EB.Wochenarbeitszeit=50/24,INDEX(T.Pikett.Bereich,1),IF(DAY(T$10)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S34="B",INDEX(T.Pikett.Bereich,4),IF(S34="E",INDEX(T.Pikett.Bereich,1),S34)))),"")</f>
        <v>No</v>
      </c>
      <c r="U34" s="92" t="str">
        <f ca="1">IF(EB.Anwendung&lt;&gt;"",IF(EB.Wochenarbeitszeit=50/24,INDEX(T.Pikett.Bereich,1),IF(DAY(U$10)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T34="B",INDEX(T.Pikett.Bereich,4),IF(T34="E",INDEX(T.Pikett.Bereich,1),T34)))),"")</f>
        <v>No</v>
      </c>
      <c r="V34" s="92" t="str">
        <f ca="1">IF(EB.Anwendung&lt;&gt;"",IF(EB.Wochenarbeitszeit=50/24,INDEX(T.Pikett.Bereich,1),IF(DAY(V$10)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U34="B",INDEX(T.Pikett.Bereich,4),IF(U34="E",INDEX(T.Pikett.Bereich,1),U34)))),"")</f>
        <v>No</v>
      </c>
      <c r="W34" s="92" t="str">
        <f ca="1">IF(EB.Anwendung&lt;&gt;"",IF(EB.Wochenarbeitszeit=50/24,INDEX(T.Pikett.Bereich,1),IF(DAY(W$10)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V34="B",INDEX(T.Pikett.Bereich,4),IF(V34="E",INDEX(T.Pikett.Bereich,1),V34)))),"")</f>
        <v>No</v>
      </c>
      <c r="X34" s="92" t="str">
        <f ca="1">IF(EB.Anwendung&lt;&gt;"",IF(EB.Wochenarbeitszeit=50/24,INDEX(T.Pikett.Bereich,1),IF(DAY(X$10)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W34="B",INDEX(T.Pikett.Bereich,4),IF(W34="E",INDEX(T.Pikett.Bereich,1),W34)))),"")</f>
        <v>No</v>
      </c>
      <c r="Y34" s="92" t="str">
        <f ca="1">IF(EB.Anwendung&lt;&gt;"",IF(EB.Wochenarbeitszeit=50/24,INDEX(T.Pikett.Bereich,1),IF(DAY(Y$10)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X34="B",INDEX(T.Pikett.Bereich,4),IF(X34="E",INDEX(T.Pikett.Bereich,1),X34)))),"")</f>
        <v>No</v>
      </c>
      <c r="Z34" s="92" t="str">
        <f ca="1">IF(EB.Anwendung&lt;&gt;"",IF(EB.Wochenarbeitszeit=50/24,INDEX(T.Pikett.Bereich,1),IF(DAY(Z$10)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Y34="B",INDEX(T.Pikett.Bereich,4),IF(Y34="E",INDEX(T.Pikett.Bereich,1),Y34)))),"")</f>
        <v>No</v>
      </c>
      <c r="AA34" s="92" t="str">
        <f ca="1">IF(EB.Anwendung&lt;&gt;"",IF(EB.Wochenarbeitszeit=50/24,INDEX(T.Pikett.Bereich,1),IF(DAY(AA$10)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Z34="B",INDEX(T.Pikett.Bereich,4),IF(Z34="E",INDEX(T.Pikett.Bereich,1),Z34)))),"")</f>
        <v>No</v>
      </c>
      <c r="AB34" s="92" t="str">
        <f ca="1">IF(EB.Anwendung&lt;&gt;"",IF(EB.Wochenarbeitszeit=50/24,INDEX(T.Pikett.Bereich,1),IF(DAY(A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A34="B",INDEX(T.Pikett.Bereich,4),IF(AA34="E",INDEX(T.Pikett.Bereich,1),AA34)))),"")</f>
        <v>No</v>
      </c>
      <c r="AC34" s="92" t="str">
        <f ca="1">IF(EB.Anwendung&lt;&gt;"",IF(EB.Wochenarbeitszeit=50/24,INDEX(T.Pikett.Bereich,1),IF(DAY(A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B34="B",INDEX(T.Pikett.Bereich,4),IF(AB34="E",INDEX(T.Pikett.Bereich,1),AB34)))),"")</f>
        <v>No</v>
      </c>
      <c r="AD34" s="92" t="str">
        <f ca="1">IF(EB.Anwendung&lt;&gt;"",IF(EB.Wochenarbeitszeit=50/24,INDEX(T.Pikett.Bereich,1),IF(DAY(A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C34="B",INDEX(T.Pikett.Bereich,4),IF(AC34="E",INDEX(T.Pikett.Bereich,1),AC34)))),"")</f>
        <v>No</v>
      </c>
      <c r="AE34" s="92" t="str">
        <f ca="1">IF(EB.Anwendung&lt;&gt;"",IF(EB.Wochenarbeitszeit=50/24,INDEX(T.Pikett.Bereich,1),IF(DAY(A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D34="B",INDEX(T.Pikett.Bereich,4),IF(AD34="E",INDEX(T.Pikett.Bereich,1),AD34)))),"")</f>
        <v>No</v>
      </c>
      <c r="AF34" s="92" t="str">
        <f ca="1">IF(EB.Anwendung&lt;&gt;"",IF(EB.Wochenarbeitszeit=50/24,INDEX(T.Pikett.Bereich,1),IF(DAY(A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E34="B",INDEX(T.Pikett.Bereich,4),IF(AE34="E",INDEX(T.Pikett.Bereich,1),AE34)))),"")</f>
        <v>No</v>
      </c>
      <c r="AG34" s="217" t="str">
        <f ca="1">IF(OFFSET(B34,0,DAY(EOMONTH(Monat.Tag1,0))-1,1,1)="B",INDEX(T.Pikett.Bereich,4),IF(OFFSET(B34,0,DAY(EOMONTH(Monat.Tag1,0))-1,1,1)="E",INDEX(T.Pikett.Bereich,1),OFFSET(B34,0,DAY(EOMONTH(Monat.Tag1,0))-1,1,1)))</f>
        <v>No</v>
      </c>
      <c r="AH34" s="228"/>
      <c r="AI34" s="224"/>
      <c r="AJ34" s="229" t="str">
        <f ca="1">IF(T.50_Vetsuisse,IFERROR(SUMPRODUCT((B34:AF34=INDEX(T.Pikett.Bereich,4))*((B49:AF49)&lt;1/24*5)),0) &amp; " / " &amp; IFERROR(SUMPRODUCT((B34:AF34=INDEX(T.Pikett.Bereich,4))*((B49:AF49)&gt;=1/24*5)),0) &amp; " / " &amp; IFERROR(SUMPRODUCT((B34:AF34=INDEX(T.Pikett.Bereich,4))*((B49:AF49)&lt;1/24*5)),0) + IFERROR(SUMPRODUCT((B34:AF34=INDEX(T.Pikett.Bereich,4))*((B49:AF49)&gt;=1/24*5)),0),
IFERROR(SUMPRODUCT((B34:AF34=INDEX(T.Pikett.Bereich,4))*(WEEKDAY(B10:AF10,2)&lt;6)*(B11:AF11&lt;&gt;0)),0) &amp; " / " &amp; IFERROR(SUMPRODUCT((B34:AF34=INDEX(T.Pikett.Bereich,4))*(WEEKDAY(B10:AF10,2)&gt;5)*(B11:AF11&lt;&gt;0))+SUMPRODUCT((B34:AF34=INDEX(T.Pikett.Bereich,4))*(B11:AF11=0)),0) &amp; " / " &amp; IFERROR(SUMPRODUCT((B34:AF34=INDEX(T.Pikett.Bereich,4))*(WEEKDAY(B10:AF10,2)&lt;6)*(B11:AF11&lt;&gt;0)),0) + IFERROR(SUMPRODUCT((B34:AF34=INDEX(T.Pikett.Bereich,4))*(WEEKDAY(B10:AF10,2)&gt;5)*(B11:AF11&lt;&gt;0))+SUMPRODUCT((B34:AF34=INDEX(T.Pikett.Bereich,4))*(B11:AF11=0)),0))</f>
        <v>0 / 0 / 0</v>
      </c>
      <c r="AK34" s="209"/>
      <c r="AL34" s="209"/>
      <c r="AM34" s="209"/>
      <c r="AN34" s="208"/>
      <c r="AO34" s="209"/>
      <c r="AP34" s="209"/>
      <c r="AQ34" s="119"/>
    </row>
    <row r="35" spans="1:43" s="38" customFormat="1" ht="15" customHeight="1" outlineLevel="1" x14ac:dyDescent="0.2">
      <c r="A35" s="212" t="s">
        <v>74</v>
      </c>
      <c r="B35" s="40"/>
      <c r="C35" s="40"/>
      <c r="D35" s="40"/>
      <c r="E35" s="27"/>
      <c r="F35" s="40"/>
      <c r="G35" s="40"/>
      <c r="H35" s="40"/>
      <c r="I35" s="40"/>
      <c r="J35" s="27"/>
      <c r="K35" s="40"/>
      <c r="L35" s="27"/>
      <c r="M35" s="40"/>
      <c r="N35" s="40"/>
      <c r="O35" s="40"/>
      <c r="P35" s="40"/>
      <c r="Q35" s="27"/>
      <c r="R35" s="40"/>
      <c r="S35" s="27"/>
      <c r="T35" s="27"/>
      <c r="U35" s="40"/>
      <c r="V35" s="40"/>
      <c r="W35" s="40"/>
      <c r="X35" s="27"/>
      <c r="Y35" s="40"/>
      <c r="Z35" s="39"/>
      <c r="AA35" s="40"/>
      <c r="AB35" s="40"/>
      <c r="AC35" s="40"/>
      <c r="AD35" s="40"/>
      <c r="AE35" s="27"/>
      <c r="AF35" s="40"/>
      <c r="AG35" s="205" t="str">
        <f t="shared" si="2"/>
        <v>in</v>
      </c>
      <c r="AH35" s="188"/>
      <c r="AI35" s="213"/>
      <c r="AJ35" s="214"/>
      <c r="AK35" s="209"/>
      <c r="AL35" s="209"/>
      <c r="AM35" s="209"/>
      <c r="AN35" s="208"/>
      <c r="AO35" s="209"/>
      <c r="AP35" s="209"/>
      <c r="AQ35" s="119"/>
    </row>
    <row r="36" spans="1:43" s="38" customFormat="1" ht="15" customHeight="1" outlineLevel="1" x14ac:dyDescent="0.2">
      <c r="A36" s="212" t="s">
        <v>75</v>
      </c>
      <c r="B36" s="40"/>
      <c r="C36" s="40"/>
      <c r="D36" s="40"/>
      <c r="E36" s="27"/>
      <c r="F36" s="40"/>
      <c r="G36" s="40"/>
      <c r="H36" s="40"/>
      <c r="I36" s="40"/>
      <c r="J36" s="27"/>
      <c r="K36" s="40"/>
      <c r="L36" s="27"/>
      <c r="M36" s="40"/>
      <c r="N36" s="40"/>
      <c r="O36" s="40"/>
      <c r="P36" s="40"/>
      <c r="Q36" s="27"/>
      <c r="R36" s="40"/>
      <c r="S36" s="27"/>
      <c r="T36" s="27"/>
      <c r="U36" s="40"/>
      <c r="V36" s="40"/>
      <c r="W36" s="40"/>
      <c r="X36" s="27"/>
      <c r="Y36" s="40"/>
      <c r="Z36" s="39"/>
      <c r="AA36" s="40"/>
      <c r="AB36" s="40"/>
      <c r="AC36" s="40"/>
      <c r="AD36" s="40"/>
      <c r="AE36" s="27"/>
      <c r="AF36" s="40"/>
      <c r="AG36" s="205" t="str">
        <f t="shared" si="2"/>
        <v>out</v>
      </c>
      <c r="AH36" s="188"/>
      <c r="AI36" s="213"/>
      <c r="AJ36" s="214"/>
      <c r="AK36" s="209"/>
      <c r="AL36" s="209"/>
      <c r="AM36" s="209"/>
      <c r="AN36" s="208"/>
      <c r="AO36" s="209"/>
      <c r="AP36" s="209"/>
      <c r="AQ36" s="119"/>
    </row>
    <row r="37" spans="1:43" s="38" customFormat="1" ht="15" customHeight="1" outlineLevel="1" x14ac:dyDescent="0.2">
      <c r="A37" s="212" t="s">
        <v>74</v>
      </c>
      <c r="B37" s="40"/>
      <c r="C37" s="40"/>
      <c r="D37" s="40"/>
      <c r="E37" s="27"/>
      <c r="F37" s="40"/>
      <c r="G37" s="40"/>
      <c r="H37" s="40"/>
      <c r="I37" s="40"/>
      <c r="J37" s="27"/>
      <c r="K37" s="40"/>
      <c r="L37" s="27"/>
      <c r="M37" s="40"/>
      <c r="N37" s="40"/>
      <c r="O37" s="40"/>
      <c r="P37" s="40"/>
      <c r="Q37" s="27"/>
      <c r="R37" s="40"/>
      <c r="S37" s="27"/>
      <c r="T37" s="27"/>
      <c r="U37" s="40"/>
      <c r="V37" s="40"/>
      <c r="W37" s="40"/>
      <c r="X37" s="27"/>
      <c r="Y37" s="40"/>
      <c r="Z37" s="39"/>
      <c r="AA37" s="40"/>
      <c r="AB37" s="40"/>
      <c r="AC37" s="40"/>
      <c r="AD37" s="40"/>
      <c r="AE37" s="27"/>
      <c r="AF37" s="40"/>
      <c r="AG37" s="205" t="str">
        <f t="shared" si="2"/>
        <v>in</v>
      </c>
      <c r="AH37" s="188"/>
      <c r="AI37" s="213"/>
      <c r="AJ37" s="214"/>
      <c r="AK37" s="209"/>
      <c r="AL37" s="209"/>
      <c r="AM37" s="209"/>
      <c r="AN37" s="208"/>
      <c r="AO37" s="209"/>
      <c r="AP37" s="209"/>
      <c r="AQ37" s="119"/>
    </row>
    <row r="38" spans="1:43" s="38" customFormat="1" ht="15" customHeight="1" outlineLevel="1" x14ac:dyDescent="0.2">
      <c r="A38" s="212" t="s">
        <v>75</v>
      </c>
      <c r="B38" s="40"/>
      <c r="C38" s="40"/>
      <c r="D38" s="40"/>
      <c r="E38" s="27"/>
      <c r="F38" s="40"/>
      <c r="G38" s="40"/>
      <c r="H38" s="40"/>
      <c r="I38" s="40"/>
      <c r="J38" s="27"/>
      <c r="K38" s="40"/>
      <c r="L38" s="27"/>
      <c r="M38" s="40"/>
      <c r="N38" s="40"/>
      <c r="O38" s="40"/>
      <c r="P38" s="40"/>
      <c r="Q38" s="27"/>
      <c r="R38" s="40"/>
      <c r="S38" s="27"/>
      <c r="T38" s="27"/>
      <c r="U38" s="40"/>
      <c r="V38" s="40"/>
      <c r="W38" s="40"/>
      <c r="X38" s="27"/>
      <c r="Y38" s="40"/>
      <c r="Z38" s="39"/>
      <c r="AA38" s="40"/>
      <c r="AB38" s="40"/>
      <c r="AC38" s="40"/>
      <c r="AD38" s="40"/>
      <c r="AE38" s="27"/>
      <c r="AF38" s="40"/>
      <c r="AG38" s="205" t="str">
        <f t="shared" si="2"/>
        <v>out</v>
      </c>
      <c r="AH38" s="188"/>
      <c r="AI38" s="213"/>
      <c r="AJ38" s="214"/>
      <c r="AK38" s="209"/>
      <c r="AL38" s="209"/>
      <c r="AM38" s="209"/>
      <c r="AN38" s="208"/>
      <c r="AO38" s="209"/>
      <c r="AP38" s="209"/>
      <c r="AQ38" s="119"/>
    </row>
    <row r="39" spans="1:43" s="38" customFormat="1" ht="15" customHeight="1" outlineLevel="1" x14ac:dyDescent="0.2">
      <c r="A39" s="212" t="s">
        <v>74</v>
      </c>
      <c r="B39" s="40"/>
      <c r="C39" s="40"/>
      <c r="D39" s="40"/>
      <c r="E39" s="27"/>
      <c r="F39" s="40"/>
      <c r="G39" s="40"/>
      <c r="H39" s="40"/>
      <c r="I39" s="40"/>
      <c r="J39" s="27"/>
      <c r="K39" s="40"/>
      <c r="L39" s="27"/>
      <c r="M39" s="40"/>
      <c r="N39" s="40"/>
      <c r="O39" s="40"/>
      <c r="P39" s="40"/>
      <c r="Q39" s="27"/>
      <c r="R39" s="40"/>
      <c r="S39" s="27"/>
      <c r="T39" s="27"/>
      <c r="U39" s="40"/>
      <c r="V39" s="40"/>
      <c r="W39" s="40"/>
      <c r="X39" s="27"/>
      <c r="Y39" s="40"/>
      <c r="Z39" s="39"/>
      <c r="AA39" s="40"/>
      <c r="AB39" s="40"/>
      <c r="AC39" s="40"/>
      <c r="AD39" s="40"/>
      <c r="AE39" s="27"/>
      <c r="AF39" s="40"/>
      <c r="AG39" s="205" t="str">
        <f t="shared" si="2"/>
        <v>in</v>
      </c>
      <c r="AH39" s="188"/>
      <c r="AI39" s="213"/>
      <c r="AJ39" s="214"/>
      <c r="AK39" s="209"/>
      <c r="AL39" s="209"/>
      <c r="AM39" s="209"/>
      <c r="AN39" s="208"/>
      <c r="AO39" s="209"/>
      <c r="AP39" s="209"/>
      <c r="AQ39" s="119"/>
    </row>
    <row r="40" spans="1:43" s="38" customFormat="1" ht="15" customHeight="1" outlineLevel="1" x14ac:dyDescent="0.2">
      <c r="A40" s="212" t="s">
        <v>75</v>
      </c>
      <c r="B40" s="40"/>
      <c r="C40" s="40"/>
      <c r="D40" s="40"/>
      <c r="E40" s="27"/>
      <c r="F40" s="40"/>
      <c r="G40" s="40"/>
      <c r="H40" s="40"/>
      <c r="I40" s="40"/>
      <c r="J40" s="27"/>
      <c r="K40" s="40"/>
      <c r="L40" s="27"/>
      <c r="M40" s="40"/>
      <c r="N40" s="40"/>
      <c r="O40" s="40"/>
      <c r="P40" s="40"/>
      <c r="Q40" s="27"/>
      <c r="R40" s="40"/>
      <c r="S40" s="27"/>
      <c r="T40" s="27"/>
      <c r="U40" s="40"/>
      <c r="V40" s="40"/>
      <c r="W40" s="40"/>
      <c r="X40" s="27"/>
      <c r="Y40" s="40"/>
      <c r="Z40" s="39"/>
      <c r="AA40" s="40"/>
      <c r="AB40" s="40"/>
      <c r="AC40" s="40"/>
      <c r="AD40" s="40"/>
      <c r="AE40" s="27"/>
      <c r="AF40" s="40"/>
      <c r="AG40" s="205" t="str">
        <f t="shared" si="2"/>
        <v>out</v>
      </c>
      <c r="AH40" s="188"/>
      <c r="AI40" s="213"/>
      <c r="AJ40" s="214"/>
      <c r="AK40" s="209"/>
      <c r="AL40" s="209"/>
      <c r="AM40" s="209"/>
      <c r="AN40" s="208"/>
      <c r="AO40" s="209"/>
      <c r="AP40" s="209"/>
      <c r="AQ40" s="119"/>
    </row>
    <row r="41" spans="1:43" s="38" customFormat="1" ht="15" hidden="1" customHeight="1" outlineLevel="1" x14ac:dyDescent="0.2">
      <c r="A41" s="212" t="s">
        <v>74</v>
      </c>
      <c r="B41" s="40"/>
      <c r="C41" s="40"/>
      <c r="D41" s="40"/>
      <c r="E41" s="27"/>
      <c r="F41" s="40"/>
      <c r="G41" s="40"/>
      <c r="H41" s="40"/>
      <c r="I41" s="40"/>
      <c r="J41" s="27"/>
      <c r="K41" s="40"/>
      <c r="L41" s="27"/>
      <c r="M41" s="40"/>
      <c r="N41" s="40"/>
      <c r="O41" s="40"/>
      <c r="P41" s="40"/>
      <c r="Q41" s="27"/>
      <c r="R41" s="40"/>
      <c r="S41" s="27"/>
      <c r="T41" s="27"/>
      <c r="U41" s="40"/>
      <c r="V41" s="40"/>
      <c r="W41" s="40"/>
      <c r="X41" s="27"/>
      <c r="Y41" s="40"/>
      <c r="Z41" s="39"/>
      <c r="AA41" s="40"/>
      <c r="AB41" s="40"/>
      <c r="AC41" s="40"/>
      <c r="AD41" s="40"/>
      <c r="AE41" s="27"/>
      <c r="AF41" s="40"/>
      <c r="AG41" s="205" t="str">
        <f t="shared" si="2"/>
        <v>in</v>
      </c>
      <c r="AH41" s="188"/>
      <c r="AI41" s="213"/>
      <c r="AJ41" s="214"/>
      <c r="AK41" s="209"/>
      <c r="AL41" s="209"/>
      <c r="AM41" s="209"/>
      <c r="AN41" s="208"/>
      <c r="AO41" s="209"/>
      <c r="AP41" s="209"/>
      <c r="AQ41" s="119"/>
    </row>
    <row r="42" spans="1:43" s="38" customFormat="1" ht="15" hidden="1" customHeight="1" outlineLevel="1" x14ac:dyDescent="0.2">
      <c r="A42" s="212" t="s">
        <v>75</v>
      </c>
      <c r="B42" s="40"/>
      <c r="C42" s="40"/>
      <c r="D42" s="40"/>
      <c r="E42" s="27"/>
      <c r="F42" s="40"/>
      <c r="G42" s="40"/>
      <c r="H42" s="40"/>
      <c r="I42" s="40"/>
      <c r="J42" s="27"/>
      <c r="K42" s="40"/>
      <c r="L42" s="27"/>
      <c r="M42" s="40"/>
      <c r="N42" s="40"/>
      <c r="O42" s="40"/>
      <c r="P42" s="40"/>
      <c r="Q42" s="27"/>
      <c r="R42" s="40"/>
      <c r="S42" s="27"/>
      <c r="T42" s="27"/>
      <c r="U42" s="40"/>
      <c r="V42" s="40"/>
      <c r="W42" s="40"/>
      <c r="X42" s="27"/>
      <c r="Y42" s="40"/>
      <c r="Z42" s="39"/>
      <c r="AA42" s="40"/>
      <c r="AB42" s="40"/>
      <c r="AC42" s="40"/>
      <c r="AD42" s="40"/>
      <c r="AE42" s="27"/>
      <c r="AF42" s="40"/>
      <c r="AG42" s="205" t="str">
        <f t="shared" si="2"/>
        <v>out</v>
      </c>
      <c r="AH42" s="188"/>
      <c r="AI42" s="213"/>
      <c r="AJ42" s="214"/>
      <c r="AK42" s="209"/>
      <c r="AL42" s="209"/>
      <c r="AM42" s="209"/>
      <c r="AN42" s="208"/>
      <c r="AO42" s="209"/>
      <c r="AP42" s="209"/>
      <c r="AQ42" s="119"/>
    </row>
    <row r="43" spans="1:43" s="38" customFormat="1" ht="15" hidden="1" customHeight="1" outlineLevel="1" x14ac:dyDescent="0.2">
      <c r="A43" s="212" t="s">
        <v>74</v>
      </c>
      <c r="B43" s="40"/>
      <c r="C43" s="40"/>
      <c r="D43" s="40"/>
      <c r="E43" s="27"/>
      <c r="F43" s="40"/>
      <c r="G43" s="40"/>
      <c r="H43" s="40"/>
      <c r="I43" s="40"/>
      <c r="J43" s="27"/>
      <c r="K43" s="40"/>
      <c r="L43" s="27"/>
      <c r="M43" s="40"/>
      <c r="N43" s="40"/>
      <c r="O43" s="40"/>
      <c r="P43" s="40"/>
      <c r="Q43" s="27"/>
      <c r="R43" s="40"/>
      <c r="S43" s="27"/>
      <c r="T43" s="27"/>
      <c r="U43" s="40"/>
      <c r="V43" s="40"/>
      <c r="W43" s="40"/>
      <c r="X43" s="27"/>
      <c r="Y43" s="40"/>
      <c r="Z43" s="39"/>
      <c r="AA43" s="40"/>
      <c r="AB43" s="40"/>
      <c r="AC43" s="40"/>
      <c r="AD43" s="40"/>
      <c r="AE43" s="27"/>
      <c r="AF43" s="40"/>
      <c r="AG43" s="205" t="str">
        <f t="shared" si="2"/>
        <v>in</v>
      </c>
      <c r="AH43" s="188"/>
      <c r="AI43" s="213"/>
      <c r="AJ43" s="214"/>
      <c r="AK43" s="209"/>
      <c r="AL43" s="209"/>
      <c r="AM43" s="209"/>
      <c r="AN43" s="208"/>
      <c r="AO43" s="209"/>
      <c r="AP43" s="209"/>
      <c r="AQ43" s="119"/>
    </row>
    <row r="44" spans="1:43" s="38" customFormat="1" ht="15" hidden="1" customHeight="1" outlineLevel="1" x14ac:dyDescent="0.2">
      <c r="A44" s="212" t="s">
        <v>75</v>
      </c>
      <c r="B44" s="40"/>
      <c r="C44" s="40"/>
      <c r="D44" s="40"/>
      <c r="E44" s="27"/>
      <c r="F44" s="40"/>
      <c r="G44" s="40"/>
      <c r="H44" s="40"/>
      <c r="I44" s="40"/>
      <c r="J44" s="27"/>
      <c r="K44" s="40"/>
      <c r="L44" s="27"/>
      <c r="M44" s="40"/>
      <c r="N44" s="40"/>
      <c r="O44" s="40"/>
      <c r="P44" s="40"/>
      <c r="Q44" s="27"/>
      <c r="R44" s="40"/>
      <c r="S44" s="27"/>
      <c r="T44" s="27"/>
      <c r="U44" s="40"/>
      <c r="V44" s="40"/>
      <c r="W44" s="40"/>
      <c r="X44" s="27"/>
      <c r="Y44" s="40"/>
      <c r="Z44" s="39"/>
      <c r="AA44" s="40"/>
      <c r="AB44" s="40"/>
      <c r="AC44" s="40"/>
      <c r="AD44" s="40"/>
      <c r="AE44" s="27"/>
      <c r="AF44" s="40"/>
      <c r="AG44" s="205" t="str">
        <f t="shared" si="2"/>
        <v>out</v>
      </c>
      <c r="AH44" s="188"/>
      <c r="AI44" s="213"/>
      <c r="AJ44" s="214"/>
      <c r="AK44" s="209"/>
      <c r="AL44" s="209"/>
      <c r="AM44" s="209"/>
      <c r="AN44" s="208"/>
      <c r="AO44" s="209"/>
      <c r="AP44" s="209"/>
      <c r="AQ44" s="119"/>
    </row>
    <row r="45" spans="1:43" s="38" customFormat="1" ht="15" customHeight="1" outlineLevel="1" x14ac:dyDescent="0.2">
      <c r="A45" s="215" t="s">
        <v>207</v>
      </c>
      <c r="B45" s="216">
        <f>ROUND(((B36-B35)+(B38-B37)+(B40-B39)+(B42-B41)+(B44-B43))*1440,0)/1440</f>
        <v>0</v>
      </c>
      <c r="C45" s="216">
        <f t="shared" ref="C45:AF45" si="9">ROUND(((C36-C35)+(C38-C37)+(C40-C39)+(C42-C41)+(C44-C43))*1440,0)/1440</f>
        <v>0</v>
      </c>
      <c r="D45" s="216">
        <f t="shared" si="9"/>
        <v>0</v>
      </c>
      <c r="E45" s="216">
        <f t="shared" si="9"/>
        <v>0</v>
      </c>
      <c r="F45" s="216">
        <f t="shared" si="9"/>
        <v>0</v>
      </c>
      <c r="G45" s="216">
        <f t="shared" si="9"/>
        <v>0</v>
      </c>
      <c r="H45" s="216">
        <f t="shared" si="9"/>
        <v>0</v>
      </c>
      <c r="I45" s="216">
        <f t="shared" si="9"/>
        <v>0</v>
      </c>
      <c r="J45" s="216">
        <f t="shared" si="9"/>
        <v>0</v>
      </c>
      <c r="K45" s="216">
        <f t="shared" si="9"/>
        <v>0</v>
      </c>
      <c r="L45" s="216">
        <f t="shared" si="9"/>
        <v>0</v>
      </c>
      <c r="M45" s="216">
        <f t="shared" si="9"/>
        <v>0</v>
      </c>
      <c r="N45" s="216">
        <f t="shared" si="9"/>
        <v>0</v>
      </c>
      <c r="O45" s="216">
        <f t="shared" si="9"/>
        <v>0</v>
      </c>
      <c r="P45" s="216">
        <f t="shared" si="9"/>
        <v>0</v>
      </c>
      <c r="Q45" s="216">
        <f t="shared" si="9"/>
        <v>0</v>
      </c>
      <c r="R45" s="216">
        <f t="shared" si="9"/>
        <v>0</v>
      </c>
      <c r="S45" s="216">
        <f t="shared" si="9"/>
        <v>0</v>
      </c>
      <c r="T45" s="216">
        <f t="shared" si="9"/>
        <v>0</v>
      </c>
      <c r="U45" s="216">
        <f t="shared" si="9"/>
        <v>0</v>
      </c>
      <c r="V45" s="216">
        <f t="shared" si="9"/>
        <v>0</v>
      </c>
      <c r="W45" s="216">
        <f t="shared" si="9"/>
        <v>0</v>
      </c>
      <c r="X45" s="216">
        <f t="shared" si="9"/>
        <v>0</v>
      </c>
      <c r="Y45" s="216">
        <f t="shared" si="9"/>
        <v>0</v>
      </c>
      <c r="Z45" s="216">
        <f t="shared" si="9"/>
        <v>0</v>
      </c>
      <c r="AA45" s="216">
        <f t="shared" si="9"/>
        <v>0</v>
      </c>
      <c r="AB45" s="216">
        <f t="shared" si="9"/>
        <v>0</v>
      </c>
      <c r="AC45" s="216">
        <f t="shared" si="9"/>
        <v>0</v>
      </c>
      <c r="AD45" s="216">
        <f t="shared" si="9"/>
        <v>0</v>
      </c>
      <c r="AE45" s="216">
        <f t="shared" si="9"/>
        <v>0</v>
      </c>
      <c r="AF45" s="216">
        <f t="shared" si="9"/>
        <v>0</v>
      </c>
      <c r="AG45" s="217" t="str">
        <f t="shared" si="2"/>
        <v>Total on call standby in/out</v>
      </c>
      <c r="AH45" s="218"/>
      <c r="AI45" s="219">
        <f>SUM(B45:AF45)</f>
        <v>0</v>
      </c>
      <c r="AJ45" s="214"/>
      <c r="AK45" s="209"/>
      <c r="AL45" s="209"/>
      <c r="AM45" s="209"/>
      <c r="AN45" s="208"/>
      <c r="AO45" s="209"/>
      <c r="AP45" s="209"/>
      <c r="AQ45" s="119"/>
    </row>
    <row r="46" spans="1:43" s="38" customFormat="1" ht="3.75" customHeight="1" x14ac:dyDescent="0.2">
      <c r="A46" s="220"/>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213"/>
      <c r="AG46" s="205"/>
      <c r="AH46" s="188"/>
      <c r="AI46" s="213"/>
      <c r="AJ46" s="214"/>
      <c r="AK46" s="209"/>
      <c r="AL46" s="209"/>
      <c r="AM46" s="209"/>
      <c r="AN46" s="208"/>
      <c r="AO46" s="209"/>
      <c r="AP46" s="209"/>
      <c r="AQ46" s="119"/>
    </row>
    <row r="47" spans="1:43" s="38" customFormat="1" ht="16.5" hidden="1" customHeight="1" outlineLevel="1" x14ac:dyDescent="0.2">
      <c r="A47" s="215" t="s">
        <v>209</v>
      </c>
      <c r="B47" s="216">
        <f t="shared" ref="B47:AF47" si="10">IF(B45&gt;0,ROUND((B45-
IF(B35&lt;T.PikettVetsuissebis,MIN(T.PikettVetsuissebis-B35,B36-B35)+IF(B37&lt;T.PikettVetsuissebis,MIN(T.PikettVetsuissebis-B37,B38-B37)+IF(B39&lt;T.PikettVetsuissebis,MIN(T.PikettVetsuissebis-B39,B40-B39)+IF(B41&lt;T.PikettVetsuissebis,MIN(T.PikettVetsuissebis-B41,B42-B41)+IF(B43&lt;T.PikettVetsuissebis,MIN(T.PikettVetsuissebis-B43,B44-B43),0),0),0),0),0))*1440,0)/1440,0)</f>
        <v>0</v>
      </c>
      <c r="C47" s="216">
        <f t="shared" si="10"/>
        <v>0</v>
      </c>
      <c r="D47" s="216">
        <f t="shared" si="10"/>
        <v>0</v>
      </c>
      <c r="E47" s="216">
        <f t="shared" si="10"/>
        <v>0</v>
      </c>
      <c r="F47" s="216">
        <f t="shared" si="10"/>
        <v>0</v>
      </c>
      <c r="G47" s="216">
        <f t="shared" si="10"/>
        <v>0</v>
      </c>
      <c r="H47" s="216">
        <f t="shared" si="10"/>
        <v>0</v>
      </c>
      <c r="I47" s="216">
        <f t="shared" si="10"/>
        <v>0</v>
      </c>
      <c r="J47" s="216">
        <f t="shared" si="10"/>
        <v>0</v>
      </c>
      <c r="K47" s="216">
        <f t="shared" si="10"/>
        <v>0</v>
      </c>
      <c r="L47" s="216">
        <f t="shared" si="10"/>
        <v>0</v>
      </c>
      <c r="M47" s="216">
        <f t="shared" si="10"/>
        <v>0</v>
      </c>
      <c r="N47" s="216">
        <f t="shared" si="10"/>
        <v>0</v>
      </c>
      <c r="O47" s="216">
        <f t="shared" si="10"/>
        <v>0</v>
      </c>
      <c r="P47" s="216">
        <f t="shared" si="10"/>
        <v>0</v>
      </c>
      <c r="Q47" s="216">
        <f t="shared" si="10"/>
        <v>0</v>
      </c>
      <c r="R47" s="216">
        <f t="shared" si="10"/>
        <v>0</v>
      </c>
      <c r="S47" s="216">
        <f t="shared" si="10"/>
        <v>0</v>
      </c>
      <c r="T47" s="216">
        <f t="shared" si="10"/>
        <v>0</v>
      </c>
      <c r="U47" s="216">
        <f t="shared" si="10"/>
        <v>0</v>
      </c>
      <c r="V47" s="216">
        <f t="shared" si="10"/>
        <v>0</v>
      </c>
      <c r="W47" s="216">
        <f t="shared" si="10"/>
        <v>0</v>
      </c>
      <c r="X47" s="216">
        <f t="shared" si="10"/>
        <v>0</v>
      </c>
      <c r="Y47" s="216">
        <f t="shared" si="10"/>
        <v>0</v>
      </c>
      <c r="Z47" s="216">
        <f t="shared" si="10"/>
        <v>0</v>
      </c>
      <c r="AA47" s="216">
        <f t="shared" si="10"/>
        <v>0</v>
      </c>
      <c r="AB47" s="216">
        <f t="shared" si="10"/>
        <v>0</v>
      </c>
      <c r="AC47" s="216">
        <f t="shared" si="10"/>
        <v>0</v>
      </c>
      <c r="AD47" s="216">
        <f t="shared" si="10"/>
        <v>0</v>
      </c>
      <c r="AE47" s="216">
        <f t="shared" si="10"/>
        <v>0</v>
      </c>
      <c r="AF47" s="216">
        <f t="shared" si="10"/>
        <v>0</v>
      </c>
      <c r="AG47" s="217" t="str">
        <f t="shared" si="2"/>
        <v>Total on call hours today</v>
      </c>
      <c r="AH47" s="188"/>
      <c r="AI47" s="213"/>
      <c r="AJ47" s="214"/>
      <c r="AK47" s="209"/>
      <c r="AL47" s="209"/>
      <c r="AM47" s="209"/>
      <c r="AN47" s="208"/>
      <c r="AO47" s="209"/>
      <c r="AP47" s="209"/>
      <c r="AQ47" s="119"/>
    </row>
    <row r="48" spans="1:43" s="38" customFormat="1" ht="16.5" hidden="1" customHeight="1" outlineLevel="1" x14ac:dyDescent="0.2">
      <c r="A48" s="215" t="s">
        <v>208</v>
      </c>
      <c r="B48" s="225">
        <f t="shared" ref="B48:AF48" si="11">B45-B47</f>
        <v>0</v>
      </c>
      <c r="C48" s="225">
        <f t="shared" si="11"/>
        <v>0</v>
      </c>
      <c r="D48" s="225">
        <f t="shared" si="11"/>
        <v>0</v>
      </c>
      <c r="E48" s="225">
        <f t="shared" si="11"/>
        <v>0</v>
      </c>
      <c r="F48" s="225">
        <f t="shared" si="11"/>
        <v>0</v>
      </c>
      <c r="G48" s="225">
        <f t="shared" si="11"/>
        <v>0</v>
      </c>
      <c r="H48" s="225">
        <f t="shared" si="11"/>
        <v>0</v>
      </c>
      <c r="I48" s="225">
        <f t="shared" si="11"/>
        <v>0</v>
      </c>
      <c r="J48" s="225">
        <f t="shared" si="11"/>
        <v>0</v>
      </c>
      <c r="K48" s="225">
        <f t="shared" si="11"/>
        <v>0</v>
      </c>
      <c r="L48" s="225">
        <f t="shared" si="11"/>
        <v>0</v>
      </c>
      <c r="M48" s="225">
        <f t="shared" si="11"/>
        <v>0</v>
      </c>
      <c r="N48" s="225">
        <f t="shared" si="11"/>
        <v>0</v>
      </c>
      <c r="O48" s="225">
        <f t="shared" si="11"/>
        <v>0</v>
      </c>
      <c r="P48" s="225">
        <f t="shared" si="11"/>
        <v>0</v>
      </c>
      <c r="Q48" s="225">
        <f t="shared" si="11"/>
        <v>0</v>
      </c>
      <c r="R48" s="225">
        <f t="shared" si="11"/>
        <v>0</v>
      </c>
      <c r="S48" s="225">
        <f t="shared" si="11"/>
        <v>0</v>
      </c>
      <c r="T48" s="225">
        <f t="shared" si="11"/>
        <v>0</v>
      </c>
      <c r="U48" s="225">
        <f t="shared" si="11"/>
        <v>0</v>
      </c>
      <c r="V48" s="225">
        <f t="shared" si="11"/>
        <v>0</v>
      </c>
      <c r="W48" s="225">
        <f t="shared" si="11"/>
        <v>0</v>
      </c>
      <c r="X48" s="225">
        <f t="shared" si="11"/>
        <v>0</v>
      </c>
      <c r="Y48" s="225">
        <f t="shared" si="11"/>
        <v>0</v>
      </c>
      <c r="Z48" s="225">
        <f t="shared" si="11"/>
        <v>0</v>
      </c>
      <c r="AA48" s="225">
        <f t="shared" si="11"/>
        <v>0</v>
      </c>
      <c r="AB48" s="225">
        <f t="shared" si="11"/>
        <v>0</v>
      </c>
      <c r="AC48" s="225">
        <f t="shared" si="11"/>
        <v>0</v>
      </c>
      <c r="AD48" s="225">
        <f t="shared" si="11"/>
        <v>0</v>
      </c>
      <c r="AE48" s="225">
        <f t="shared" si="11"/>
        <v>0</v>
      </c>
      <c r="AF48" s="225">
        <f t="shared" si="11"/>
        <v>0</v>
      </c>
      <c r="AG48" s="217" t="str">
        <f t="shared" si="2"/>
        <v>Total on call hours yesterday</v>
      </c>
      <c r="AH48" s="188"/>
      <c r="AI48" s="213"/>
      <c r="AJ48" s="214"/>
      <c r="AK48" s="209"/>
      <c r="AL48" s="209"/>
      <c r="AM48" s="230">
        <f ca="1">IF(EB.Anwendung&lt;&gt;"",IF(MONTH(Monat.Tag1)=12,0,IF(MONTH(Monat.Tag1)=1,February!Monat.PikettgesternTag1,IF(MONTH(Monat.Tag1)=2,March!Monat.PikettgesternTag1,IF(MONTH(Monat.Tag1)=3,April!Monat.PikettgesternTag1,IF(MONTH(Monat.Tag1)=4,May!Monat.PikettgesternTag1,IF(MONTH(Monat.Tag1)=5,June!Monat.PikettgesternTag1,IF(MONTH(Monat.Tag1)=6,July!Monat.PikettgesternTag1,IF(MONTH(Monat.Tag1)=7,August!Monat.PikettgesternTag1,IF(MONTH(Monat.Tag1)=8,September!Monat.PikettgesternTag1,IF(MONTH(Monat.Tag1)=9,October!Monat.PikettgesternTag1,IF(MONTH(Monat.Tag1)=10,November!Monat.PikettgesternTag1,IF(MONTH(Monat.Tag1)=11,December!Monat.PikettgesternTag1,"")))))))))))),"")</f>
        <v>0</v>
      </c>
      <c r="AN48" s="208"/>
      <c r="AO48" s="209"/>
      <c r="AP48" s="209"/>
      <c r="AQ48" s="119"/>
    </row>
    <row r="49" spans="1:43" s="38" customFormat="1" ht="16.5" hidden="1" customHeight="1" outlineLevel="1" x14ac:dyDescent="0.2">
      <c r="A49" s="215" t="s">
        <v>210</v>
      </c>
      <c r="B49" s="216">
        <f t="shared" ref="B49:AF49" si="12">B47+IF(B$10=EOMONTH(B$10,0),$AM48,C48)</f>
        <v>0</v>
      </c>
      <c r="C49" s="216">
        <f t="shared" si="12"/>
        <v>0</v>
      </c>
      <c r="D49" s="216">
        <f t="shared" si="12"/>
        <v>0</v>
      </c>
      <c r="E49" s="216">
        <f t="shared" si="12"/>
        <v>0</v>
      </c>
      <c r="F49" s="216">
        <f t="shared" si="12"/>
        <v>0</v>
      </c>
      <c r="G49" s="216">
        <f t="shared" si="12"/>
        <v>0</v>
      </c>
      <c r="H49" s="216">
        <f t="shared" si="12"/>
        <v>0</v>
      </c>
      <c r="I49" s="216">
        <f t="shared" si="12"/>
        <v>0</v>
      </c>
      <c r="J49" s="216">
        <f t="shared" si="12"/>
        <v>0</v>
      </c>
      <c r="K49" s="216">
        <f t="shared" si="12"/>
        <v>0</v>
      </c>
      <c r="L49" s="216">
        <f t="shared" si="12"/>
        <v>0</v>
      </c>
      <c r="M49" s="216">
        <f t="shared" si="12"/>
        <v>0</v>
      </c>
      <c r="N49" s="216">
        <f t="shared" si="12"/>
        <v>0</v>
      </c>
      <c r="O49" s="216">
        <f t="shared" si="12"/>
        <v>0</v>
      </c>
      <c r="P49" s="216">
        <f t="shared" si="12"/>
        <v>0</v>
      </c>
      <c r="Q49" s="216">
        <f t="shared" si="12"/>
        <v>0</v>
      </c>
      <c r="R49" s="216">
        <f t="shared" si="12"/>
        <v>0</v>
      </c>
      <c r="S49" s="216">
        <f t="shared" si="12"/>
        <v>0</v>
      </c>
      <c r="T49" s="216">
        <f t="shared" si="12"/>
        <v>0</v>
      </c>
      <c r="U49" s="216">
        <f t="shared" si="12"/>
        <v>0</v>
      </c>
      <c r="V49" s="216">
        <f t="shared" si="12"/>
        <v>0</v>
      </c>
      <c r="W49" s="216">
        <f t="shared" si="12"/>
        <v>0</v>
      </c>
      <c r="X49" s="216">
        <f t="shared" si="12"/>
        <v>0</v>
      </c>
      <c r="Y49" s="216">
        <f t="shared" si="12"/>
        <v>0</v>
      </c>
      <c r="Z49" s="216">
        <f t="shared" si="12"/>
        <v>0</v>
      </c>
      <c r="AA49" s="216">
        <f t="shared" si="12"/>
        <v>0</v>
      </c>
      <c r="AB49" s="216">
        <f t="shared" si="12"/>
        <v>0</v>
      </c>
      <c r="AC49" s="216">
        <f t="shared" si="12"/>
        <v>0</v>
      </c>
      <c r="AD49" s="216">
        <f t="shared" si="12"/>
        <v>0</v>
      </c>
      <c r="AE49" s="216">
        <f t="shared" si="12"/>
        <v>0</v>
      </c>
      <c r="AF49" s="216">
        <f t="shared" ca="1" si="12"/>
        <v>0</v>
      </c>
      <c r="AG49" s="217" t="str">
        <f t="shared" si="2"/>
        <v>Total on call standby hours</v>
      </c>
      <c r="AH49" s="218"/>
      <c r="AI49" s="219">
        <f ca="1">SUM(B49:AF49)</f>
        <v>0</v>
      </c>
      <c r="AJ49" s="214"/>
      <c r="AK49" s="209"/>
      <c r="AL49" s="209"/>
      <c r="AM49" s="209"/>
      <c r="AN49" s="208"/>
      <c r="AO49" s="209"/>
      <c r="AP49" s="209"/>
      <c r="AQ49" s="119"/>
    </row>
    <row r="50" spans="1:43" s="38" customFormat="1" ht="3.75" customHeight="1" collapsed="1" x14ac:dyDescent="0.2">
      <c r="A50" s="231"/>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2"/>
      <c r="AG50" s="232"/>
      <c r="AH50" s="233"/>
      <c r="AI50" s="222"/>
      <c r="AJ50" s="214"/>
      <c r="AK50" s="209"/>
      <c r="AL50" s="209"/>
      <c r="AM50" s="209"/>
      <c r="AN50" s="208"/>
      <c r="AO50" s="209"/>
      <c r="AP50" s="209"/>
      <c r="AQ50" s="119"/>
    </row>
    <row r="51" spans="1:43" s="38" customFormat="1" ht="15" customHeight="1" x14ac:dyDescent="0.2">
      <c r="A51" s="215" t="s">
        <v>76</v>
      </c>
      <c r="B51" s="234">
        <f>ROUND((B23+B45+B84+SUM(B86:B95)+IF(OR(T.50_Vetsuisse,T.ServiceCenterIrchel),B71,0))*1440,0)/1440</f>
        <v>0</v>
      </c>
      <c r="C51" s="234">
        <f t="shared" ref="C51:AF51" si="13">ROUND((C23+C45+C84+SUM(C86:C95)+IF(OR(T.50_Vetsuisse,T.ServiceCenterIrchel),C71,0))*1440,0)/1440</f>
        <v>0</v>
      </c>
      <c r="D51" s="234">
        <f t="shared" si="13"/>
        <v>0</v>
      </c>
      <c r="E51" s="235">
        <f t="shared" si="13"/>
        <v>0</v>
      </c>
      <c r="F51" s="234">
        <f t="shared" si="13"/>
        <v>0</v>
      </c>
      <c r="G51" s="234">
        <f t="shared" si="13"/>
        <v>0</v>
      </c>
      <c r="H51" s="234">
        <f t="shared" si="13"/>
        <v>0</v>
      </c>
      <c r="I51" s="234">
        <f t="shared" si="13"/>
        <v>0</v>
      </c>
      <c r="J51" s="236">
        <f t="shared" si="13"/>
        <v>0</v>
      </c>
      <c r="K51" s="234">
        <f t="shared" si="13"/>
        <v>0</v>
      </c>
      <c r="L51" s="236">
        <f t="shared" si="13"/>
        <v>0</v>
      </c>
      <c r="M51" s="234">
        <f t="shared" si="13"/>
        <v>0</v>
      </c>
      <c r="N51" s="234">
        <f t="shared" si="13"/>
        <v>0</v>
      </c>
      <c r="O51" s="234">
        <f t="shared" si="13"/>
        <v>0</v>
      </c>
      <c r="P51" s="234">
        <f t="shared" si="13"/>
        <v>0</v>
      </c>
      <c r="Q51" s="236">
        <f t="shared" si="13"/>
        <v>0</v>
      </c>
      <c r="R51" s="234">
        <f t="shared" si="13"/>
        <v>0</v>
      </c>
      <c r="S51" s="236">
        <f t="shared" si="13"/>
        <v>0</v>
      </c>
      <c r="T51" s="236">
        <f t="shared" si="13"/>
        <v>0</v>
      </c>
      <c r="U51" s="234">
        <f t="shared" si="13"/>
        <v>0</v>
      </c>
      <c r="V51" s="234">
        <f t="shared" si="13"/>
        <v>0</v>
      </c>
      <c r="W51" s="234">
        <f t="shared" si="13"/>
        <v>0</v>
      </c>
      <c r="X51" s="236">
        <f t="shared" si="13"/>
        <v>0</v>
      </c>
      <c r="Y51" s="234">
        <f t="shared" si="13"/>
        <v>0</v>
      </c>
      <c r="Z51" s="237">
        <f t="shared" si="13"/>
        <v>0</v>
      </c>
      <c r="AA51" s="234">
        <f t="shared" si="13"/>
        <v>0</v>
      </c>
      <c r="AB51" s="234">
        <f t="shared" si="13"/>
        <v>0</v>
      </c>
      <c r="AC51" s="234">
        <f t="shared" si="13"/>
        <v>0</v>
      </c>
      <c r="AD51" s="234">
        <f t="shared" si="13"/>
        <v>0</v>
      </c>
      <c r="AE51" s="236">
        <f t="shared" si="13"/>
        <v>0</v>
      </c>
      <c r="AF51" s="234">
        <f t="shared" si="13"/>
        <v>0</v>
      </c>
      <c r="AG51" s="217" t="str">
        <f t="shared" si="2"/>
        <v>Actual hours worked</v>
      </c>
      <c r="AH51" s="218"/>
      <c r="AI51" s="238">
        <f>SUM(B51:AF51)</f>
        <v>0</v>
      </c>
      <c r="AJ51" s="214"/>
      <c r="AK51" s="209"/>
      <c r="AL51" s="209"/>
      <c r="AM51" s="209"/>
      <c r="AN51" s="239">
        <f ca="1">IF(WEEKDAY(EOMONTH(Monat.Tag1,0),2)=7,0,MAX(0,SUM(OFFSET(B51,0,DAY(EOMONTH(Monat.Tag1,0))-WEEKDAY(EOMONTH(Monat.Tag1,0),2),1,WEEKDAY(EOMONTH(Monat.Tag1,0),2)))))</f>
        <v>0</v>
      </c>
      <c r="AO51" s="209"/>
      <c r="AP51" s="209"/>
      <c r="AQ51" s="119"/>
    </row>
    <row r="52" spans="1:43" s="38" customFormat="1" ht="15" customHeight="1" outlineLevel="1" x14ac:dyDescent="0.2">
      <c r="A52" s="212" t="s">
        <v>211</v>
      </c>
      <c r="B52" s="78">
        <f t="shared" ref="B52:AF52" ca="1" si="14">IF(B$12=0,0,ROUND(INDEX(Monat.RAZ1_7.Bereich,WEEKDAY(B$10,2))*B$11*1440,0)/1440)</f>
        <v>0</v>
      </c>
      <c r="C52" s="78">
        <f t="shared" ca="1" si="14"/>
        <v>0</v>
      </c>
      <c r="D52" s="79">
        <f t="shared" ca="1" si="14"/>
        <v>0.35</v>
      </c>
      <c r="E52" s="78">
        <f t="shared" ca="1" si="14"/>
        <v>0.35</v>
      </c>
      <c r="F52" s="79">
        <f t="shared" ca="1" si="14"/>
        <v>0.35</v>
      </c>
      <c r="G52" s="79">
        <f t="shared" ca="1" si="14"/>
        <v>0.35</v>
      </c>
      <c r="H52" s="79">
        <f t="shared" ca="1" si="14"/>
        <v>0.35</v>
      </c>
      <c r="I52" s="79">
        <f t="shared" ca="1" si="14"/>
        <v>0</v>
      </c>
      <c r="J52" s="78">
        <f t="shared" ca="1" si="14"/>
        <v>0</v>
      </c>
      <c r="K52" s="79">
        <f t="shared" ca="1" si="14"/>
        <v>0.35</v>
      </c>
      <c r="L52" s="78">
        <f t="shared" ca="1" si="14"/>
        <v>0.35</v>
      </c>
      <c r="M52" s="79">
        <f t="shared" ca="1" si="14"/>
        <v>0.35</v>
      </c>
      <c r="N52" s="79">
        <f t="shared" ca="1" si="14"/>
        <v>0.35</v>
      </c>
      <c r="O52" s="79">
        <f t="shared" ca="1" si="14"/>
        <v>0.35</v>
      </c>
      <c r="P52" s="79">
        <f t="shared" ca="1" si="14"/>
        <v>0</v>
      </c>
      <c r="Q52" s="78">
        <f t="shared" ca="1" si="14"/>
        <v>0</v>
      </c>
      <c r="R52" s="79">
        <f t="shared" ca="1" si="14"/>
        <v>0.35</v>
      </c>
      <c r="S52" s="78">
        <f t="shared" ca="1" si="14"/>
        <v>0.35</v>
      </c>
      <c r="T52" s="78">
        <f t="shared" ca="1" si="14"/>
        <v>0.35</v>
      </c>
      <c r="U52" s="79">
        <f t="shared" ca="1" si="14"/>
        <v>0.35</v>
      </c>
      <c r="V52" s="79">
        <f t="shared" ca="1" si="14"/>
        <v>0.35</v>
      </c>
      <c r="W52" s="79">
        <f t="shared" ca="1" si="14"/>
        <v>0</v>
      </c>
      <c r="X52" s="78">
        <f t="shared" ca="1" si="14"/>
        <v>0</v>
      </c>
      <c r="Y52" s="79">
        <f t="shared" ca="1" si="14"/>
        <v>0.35</v>
      </c>
      <c r="Z52" s="80">
        <f t="shared" ca="1" si="14"/>
        <v>0.35</v>
      </c>
      <c r="AA52" s="79">
        <f t="shared" ca="1" si="14"/>
        <v>0.35</v>
      </c>
      <c r="AB52" s="79">
        <f t="shared" ca="1" si="14"/>
        <v>0.35</v>
      </c>
      <c r="AC52" s="79">
        <f t="shared" ca="1" si="14"/>
        <v>0.35</v>
      </c>
      <c r="AD52" s="79">
        <f t="shared" ca="1" si="14"/>
        <v>0</v>
      </c>
      <c r="AE52" s="78">
        <f t="shared" ca="1" si="14"/>
        <v>0</v>
      </c>
      <c r="AF52" s="79">
        <f t="shared" ca="1" si="14"/>
        <v>0.35</v>
      </c>
      <c r="AG52" s="240" t="str">
        <f t="shared" si="2"/>
        <v>Standardized hours (Info)</v>
      </c>
      <c r="AH52" s="218"/>
      <c r="AI52" s="213"/>
      <c r="AJ52" s="214"/>
      <c r="AK52" s="209"/>
      <c r="AL52" s="209"/>
      <c r="AM52" s="209"/>
      <c r="AN52" s="208"/>
      <c r="AO52" s="209"/>
      <c r="AP52" s="209"/>
      <c r="AQ52" s="119"/>
    </row>
    <row r="53" spans="1:43" s="38" customFormat="1" ht="15" customHeight="1" x14ac:dyDescent="0.2">
      <c r="A53" s="212" t="s">
        <v>212</v>
      </c>
      <c r="B53" s="241">
        <f t="shared" ref="B53:AF53" ca="1" si="15">IF(B$12=0,0,ROUND(INDEX(EB.AZSOLLTag100.Bereich,MATCH(INDEX(EB.Monate.Bereich,MONTH(Monat.Tag1)),EB.Monate.Bereich,0))*B$11*IF(WEEKDAY(B$10,2)&gt;5,0,1)*$V$2/100*1440,0)/1440)</f>
        <v>0</v>
      </c>
      <c r="C53" s="241">
        <f t="shared" ca="1" si="15"/>
        <v>0</v>
      </c>
      <c r="D53" s="241">
        <f t="shared" ca="1" si="15"/>
        <v>0.35</v>
      </c>
      <c r="E53" s="241">
        <f t="shared" ca="1" si="15"/>
        <v>0.35</v>
      </c>
      <c r="F53" s="241">
        <f t="shared" ca="1" si="15"/>
        <v>0.35</v>
      </c>
      <c r="G53" s="241">
        <f t="shared" ca="1" si="15"/>
        <v>0.35</v>
      </c>
      <c r="H53" s="241">
        <f t="shared" ca="1" si="15"/>
        <v>0.35</v>
      </c>
      <c r="I53" s="241">
        <f t="shared" ca="1" si="15"/>
        <v>0</v>
      </c>
      <c r="J53" s="241">
        <f t="shared" ca="1" si="15"/>
        <v>0</v>
      </c>
      <c r="K53" s="241">
        <f t="shared" ca="1" si="15"/>
        <v>0.35</v>
      </c>
      <c r="L53" s="241">
        <f t="shared" ca="1" si="15"/>
        <v>0.35</v>
      </c>
      <c r="M53" s="241">
        <f t="shared" ca="1" si="15"/>
        <v>0.35</v>
      </c>
      <c r="N53" s="241">
        <f t="shared" ca="1" si="15"/>
        <v>0.35</v>
      </c>
      <c r="O53" s="241">
        <f t="shared" ca="1" si="15"/>
        <v>0.35</v>
      </c>
      <c r="P53" s="241">
        <f t="shared" ca="1" si="15"/>
        <v>0</v>
      </c>
      <c r="Q53" s="241">
        <f t="shared" ca="1" si="15"/>
        <v>0</v>
      </c>
      <c r="R53" s="241">
        <f t="shared" ca="1" si="15"/>
        <v>0.35</v>
      </c>
      <c r="S53" s="241">
        <f t="shared" ca="1" si="15"/>
        <v>0.35</v>
      </c>
      <c r="T53" s="241">
        <f t="shared" ca="1" si="15"/>
        <v>0.35</v>
      </c>
      <c r="U53" s="241">
        <f t="shared" ca="1" si="15"/>
        <v>0.35</v>
      </c>
      <c r="V53" s="241">
        <f t="shared" ca="1" si="15"/>
        <v>0.35</v>
      </c>
      <c r="W53" s="241">
        <f t="shared" ca="1" si="15"/>
        <v>0</v>
      </c>
      <c r="X53" s="241">
        <f t="shared" ca="1" si="15"/>
        <v>0</v>
      </c>
      <c r="Y53" s="241">
        <f t="shared" ca="1" si="15"/>
        <v>0.35</v>
      </c>
      <c r="Z53" s="241">
        <f t="shared" ca="1" si="15"/>
        <v>0.35</v>
      </c>
      <c r="AA53" s="241">
        <f t="shared" ca="1" si="15"/>
        <v>0.35</v>
      </c>
      <c r="AB53" s="241">
        <f t="shared" ca="1" si="15"/>
        <v>0.35</v>
      </c>
      <c r="AC53" s="241">
        <f t="shared" ca="1" si="15"/>
        <v>0.35</v>
      </c>
      <c r="AD53" s="241">
        <f t="shared" ca="1" si="15"/>
        <v>0</v>
      </c>
      <c r="AE53" s="241">
        <f t="shared" ca="1" si="15"/>
        <v>0</v>
      </c>
      <c r="AF53" s="241">
        <f t="shared" ca="1" si="15"/>
        <v>0.35</v>
      </c>
      <c r="AG53" s="205" t="str">
        <f t="shared" si="2"/>
        <v>Req. hours of work FTE</v>
      </c>
      <c r="AH53" s="218"/>
      <c r="AI53" s="238">
        <f ca="1">SUM(B53:AF53)</f>
        <v>7.349999999999997</v>
      </c>
      <c r="AJ53" s="214"/>
      <c r="AK53" s="209"/>
      <c r="AL53" s="209"/>
      <c r="AM53" s="209"/>
      <c r="AN53" s="208"/>
      <c r="AO53" s="209"/>
      <c r="AP53" s="209"/>
      <c r="AQ53" s="119"/>
    </row>
    <row r="54" spans="1:43" s="38" customFormat="1" ht="15" hidden="1" customHeight="1" outlineLevel="1" x14ac:dyDescent="0.2">
      <c r="A54" s="212" t="s">
        <v>213</v>
      </c>
      <c r="B54" s="241">
        <f t="shared" ref="B54:AF54" ca="1" si="16">ROUND(INDEX(EB.AZSOLLTag100.Bereich,MATCH(INDEX(EB.Monate.Bereich,MONTH(Monat.Tag1)),EB.Monate.Bereich,0))*B$11*IF(WEEKDAY(B$10,2)&gt;5,0,1)*1440,0)/1440</f>
        <v>0</v>
      </c>
      <c r="C54" s="241">
        <f t="shared" ca="1" si="16"/>
        <v>0</v>
      </c>
      <c r="D54" s="242">
        <f t="shared" ca="1" si="16"/>
        <v>0.35</v>
      </c>
      <c r="E54" s="241">
        <f t="shared" ca="1" si="16"/>
        <v>0.35</v>
      </c>
      <c r="F54" s="242">
        <f t="shared" ca="1" si="16"/>
        <v>0.35</v>
      </c>
      <c r="G54" s="242">
        <f t="shared" ca="1" si="16"/>
        <v>0.35</v>
      </c>
      <c r="H54" s="242">
        <f t="shared" ca="1" si="16"/>
        <v>0.35</v>
      </c>
      <c r="I54" s="242">
        <f t="shared" ca="1" si="16"/>
        <v>0</v>
      </c>
      <c r="J54" s="241">
        <f t="shared" ca="1" si="16"/>
        <v>0</v>
      </c>
      <c r="K54" s="242">
        <f t="shared" ca="1" si="16"/>
        <v>0.35</v>
      </c>
      <c r="L54" s="241">
        <f t="shared" ca="1" si="16"/>
        <v>0.35</v>
      </c>
      <c r="M54" s="242">
        <f t="shared" ca="1" si="16"/>
        <v>0.35</v>
      </c>
      <c r="N54" s="242">
        <f t="shared" ca="1" si="16"/>
        <v>0.35</v>
      </c>
      <c r="O54" s="242">
        <f t="shared" ca="1" si="16"/>
        <v>0.35</v>
      </c>
      <c r="P54" s="242">
        <f t="shared" ca="1" si="16"/>
        <v>0</v>
      </c>
      <c r="Q54" s="241">
        <f t="shared" ca="1" si="16"/>
        <v>0</v>
      </c>
      <c r="R54" s="242">
        <f t="shared" ca="1" si="16"/>
        <v>0.35</v>
      </c>
      <c r="S54" s="241">
        <f t="shared" ca="1" si="16"/>
        <v>0.35</v>
      </c>
      <c r="T54" s="241">
        <f t="shared" ca="1" si="16"/>
        <v>0.35</v>
      </c>
      <c r="U54" s="242">
        <f t="shared" ca="1" si="16"/>
        <v>0.35</v>
      </c>
      <c r="V54" s="242">
        <f t="shared" ca="1" si="16"/>
        <v>0.35</v>
      </c>
      <c r="W54" s="242">
        <f t="shared" ca="1" si="16"/>
        <v>0</v>
      </c>
      <c r="X54" s="241">
        <f t="shared" ca="1" si="16"/>
        <v>0</v>
      </c>
      <c r="Y54" s="242">
        <f t="shared" ca="1" si="16"/>
        <v>0.35</v>
      </c>
      <c r="Z54" s="243">
        <f t="shared" ca="1" si="16"/>
        <v>0.35</v>
      </c>
      <c r="AA54" s="242">
        <f t="shared" ca="1" si="16"/>
        <v>0.35</v>
      </c>
      <c r="AB54" s="242">
        <f t="shared" ca="1" si="16"/>
        <v>0.35</v>
      </c>
      <c r="AC54" s="242">
        <f t="shared" ca="1" si="16"/>
        <v>0.35</v>
      </c>
      <c r="AD54" s="242">
        <f t="shared" ca="1" si="16"/>
        <v>0</v>
      </c>
      <c r="AE54" s="241">
        <f t="shared" ca="1" si="16"/>
        <v>0</v>
      </c>
      <c r="AF54" s="242">
        <f t="shared" ca="1" si="16"/>
        <v>0.35</v>
      </c>
      <c r="AG54" s="205" t="str">
        <f t="shared" si="2"/>
        <v>Req. hours of work 100%</v>
      </c>
      <c r="AH54" s="218"/>
      <c r="AI54" s="238">
        <f ca="1">SUM(B54:AF54)</f>
        <v>7.349999999999997</v>
      </c>
      <c r="AJ54" s="214"/>
      <c r="AK54" s="209"/>
      <c r="AL54" s="209"/>
      <c r="AM54" s="209"/>
      <c r="AN54" s="208"/>
      <c r="AO54" s="209"/>
      <c r="AP54" s="209"/>
      <c r="AQ54" s="119"/>
    </row>
    <row r="55" spans="1:43" s="38" customFormat="1" ht="15" customHeight="1" collapsed="1" x14ac:dyDescent="0.2">
      <c r="A55" s="244" t="s">
        <v>77</v>
      </c>
      <c r="B55" s="234">
        <f ca="1">ROUND((B51-B53)*1440,0)/1440</f>
        <v>0</v>
      </c>
      <c r="C55" s="234">
        <f t="shared" ref="C55:AF55" ca="1" si="17">ROUND((C51-C53)*1440,0)/1440</f>
        <v>0</v>
      </c>
      <c r="D55" s="234">
        <f t="shared" ca="1" si="17"/>
        <v>-0.35</v>
      </c>
      <c r="E55" s="236">
        <f t="shared" ca="1" si="17"/>
        <v>-0.35</v>
      </c>
      <c r="F55" s="234">
        <f t="shared" ca="1" si="17"/>
        <v>-0.35</v>
      </c>
      <c r="G55" s="234">
        <f t="shared" ca="1" si="17"/>
        <v>-0.35</v>
      </c>
      <c r="H55" s="234">
        <f t="shared" ca="1" si="17"/>
        <v>-0.35</v>
      </c>
      <c r="I55" s="234">
        <f t="shared" ca="1" si="17"/>
        <v>0</v>
      </c>
      <c r="J55" s="236">
        <f t="shared" ca="1" si="17"/>
        <v>0</v>
      </c>
      <c r="K55" s="234">
        <f t="shared" ca="1" si="17"/>
        <v>-0.35</v>
      </c>
      <c r="L55" s="236">
        <f t="shared" ca="1" si="17"/>
        <v>-0.35</v>
      </c>
      <c r="M55" s="234">
        <f t="shared" ca="1" si="17"/>
        <v>-0.35</v>
      </c>
      <c r="N55" s="234">
        <f t="shared" ca="1" si="17"/>
        <v>-0.35</v>
      </c>
      <c r="O55" s="234">
        <f t="shared" ca="1" si="17"/>
        <v>-0.35</v>
      </c>
      <c r="P55" s="234">
        <f t="shared" ca="1" si="17"/>
        <v>0</v>
      </c>
      <c r="Q55" s="236">
        <f t="shared" ca="1" si="17"/>
        <v>0</v>
      </c>
      <c r="R55" s="234">
        <f t="shared" ca="1" si="17"/>
        <v>-0.35</v>
      </c>
      <c r="S55" s="236">
        <f t="shared" ca="1" si="17"/>
        <v>-0.35</v>
      </c>
      <c r="T55" s="236">
        <f t="shared" ca="1" si="17"/>
        <v>-0.35</v>
      </c>
      <c r="U55" s="234">
        <f t="shared" ca="1" si="17"/>
        <v>-0.35</v>
      </c>
      <c r="V55" s="234">
        <f t="shared" ca="1" si="17"/>
        <v>-0.35</v>
      </c>
      <c r="W55" s="234">
        <f t="shared" ca="1" si="17"/>
        <v>0</v>
      </c>
      <c r="X55" s="236">
        <f t="shared" ca="1" si="17"/>
        <v>0</v>
      </c>
      <c r="Y55" s="234">
        <f t="shared" ca="1" si="17"/>
        <v>-0.35</v>
      </c>
      <c r="Z55" s="237">
        <f t="shared" ca="1" si="17"/>
        <v>-0.35</v>
      </c>
      <c r="AA55" s="234">
        <f t="shared" ca="1" si="17"/>
        <v>-0.35</v>
      </c>
      <c r="AB55" s="234">
        <f t="shared" ca="1" si="17"/>
        <v>-0.35</v>
      </c>
      <c r="AC55" s="234">
        <f t="shared" ca="1" si="17"/>
        <v>-0.35</v>
      </c>
      <c r="AD55" s="234">
        <f t="shared" ca="1" si="17"/>
        <v>0</v>
      </c>
      <c r="AE55" s="236">
        <f t="shared" ca="1" si="17"/>
        <v>0</v>
      </c>
      <c r="AF55" s="234">
        <f t="shared" ca="1" si="17"/>
        <v>-0.35</v>
      </c>
      <c r="AG55" s="205" t="str">
        <f t="shared" si="2"/>
        <v>+/- required/actual hours daily</v>
      </c>
      <c r="AH55" s="218"/>
      <c r="AI55" s="238">
        <f ca="1">SUM(B55:AF55)</f>
        <v>-7.349999999999997</v>
      </c>
      <c r="AJ55" s="214"/>
      <c r="AK55" s="209"/>
      <c r="AL55" s="245">
        <f ca="1">IF(EB.Anwendung&lt;&gt;"",IF(MONTH(Monat.Tag1)=1,0,IF(MONTH(Monat.Tag1)=2,January!Monat.Soll_Ist_UeVM,IF(MONTH(Monat.Tag1)=3,February!Monat.Soll_Ist_UeVM,IF(MONTH(Monat.Tag1)=4,March!Monat.Soll_Ist_UeVM,IF(MONTH(Monat.Tag1)=5,April!Monat.Soll_Ist_UeVM,IF(MONTH(Monat.Tag1)=6,May!Monat.Soll_Ist_UeVM,IF(MONTH(Monat.Tag1)=7,June!Monat.Soll_Ist_UeVM,IF(MONTH(Monat.Tag1)=8,July!Monat.Soll_Ist_UeVM,IF(MONTH(Monat.Tag1)=9,August!Monat.Soll_Ist_UeVM,IF(MONTH(Monat.Tag1)=10,September!Monat.Soll_Ist_UeVM,IF(MONTH(Monat.Tag1)=11,October!Monat.Soll_Ist_UeVM,IF(MONTH(Monat.Tag1)=12,November!Monat.Soll_Ist_UeVM,"")))))))))))),"")</f>
        <v>-8.0499999999999972</v>
      </c>
      <c r="AM55" s="209"/>
      <c r="AN55" s="246">
        <f ca="1">IF(AH57="+",(AI55+AI57),(AI55-AI57))</f>
        <v>-7.349999999999997</v>
      </c>
      <c r="AO55" s="246">
        <f ca="1">SUM(OFFSET(J.AZSaldo.Total,-12,0,MONTH(Monat.Tag1),1))</f>
        <v>-58.074999999999974</v>
      </c>
      <c r="AP55" s="246">
        <f ca="1">J.AZSaldo.Total</f>
        <v>-88.07499999999996</v>
      </c>
      <c r="AQ55" s="119"/>
    </row>
    <row r="56" spans="1:43" s="38" customFormat="1" ht="15" customHeight="1" x14ac:dyDescent="0.2">
      <c r="A56" s="244" t="s">
        <v>214</v>
      </c>
      <c r="B56" s="247">
        <f ca="1">IF(EB.Anwendung&lt;&gt;"",IF(DAY(B$10)=1,IF(MONTH(Monat.Tag1)=1,ROUND(EB.ÜVMMS*1440,0)/1440,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B$10&gt;TODAY(),EB.UJAustritt=""),0,B55),
IF(AND(B$10&gt;TODAY(),EB.UJAustritt=""),A56,A56+B55)),"")</f>
        <v>0</v>
      </c>
      <c r="C56" s="247">
        <f ca="1">IF(EB.Anwendung&lt;&gt;"",IF(DAY(C$10)=1,IF(MONTH(Monat.Tag1)=1,ROUND(EB.ÜVMMS*1440,0)/1440,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C$10&gt;TODAY(),EB.UJAustritt=""),0,C55),
IF(AND(C$10&gt;TODAY(),EB.UJAustritt=""),B56,B56+C55)),"")</f>
        <v>0</v>
      </c>
      <c r="D56" s="247">
        <f ca="1">IF(EB.Anwendung&lt;&gt;"",IF(DAY(D$10)=1,IF(MONTH(Monat.Tag1)=1,ROUND(EB.ÜVMMS*1440,0)/1440,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D$10&gt;TODAY(),EB.UJAustritt=""),0,D55),
IF(AND(D$10&gt;TODAY(),EB.UJAustritt=""),C56,C56+D55)),"")</f>
        <v>0</v>
      </c>
      <c r="E56" s="247">
        <f ca="1">IF(EB.Anwendung&lt;&gt;"",IF(DAY(E$10)=1,IF(MONTH(Monat.Tag1)=1,ROUND(EB.ÜVMMS*1440,0)/1440,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E$10&gt;TODAY(),EB.UJAustritt=""),0,E55),
IF(AND(E$10&gt;TODAY(),EB.UJAustritt=""),D56,D56+E55)),"")</f>
        <v>0</v>
      </c>
      <c r="F56" s="247">
        <f ca="1">IF(EB.Anwendung&lt;&gt;"",IF(DAY(F$10)=1,IF(MONTH(Monat.Tag1)=1,ROUND(EB.ÜVMMS*1440,0)/1440,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F$10&gt;TODAY(),EB.UJAustritt=""),0,F55),
IF(AND(F$10&gt;TODAY(),EB.UJAustritt=""),E56,E56+F55)),"")</f>
        <v>0</v>
      </c>
      <c r="G56" s="247">
        <f ca="1">IF(EB.Anwendung&lt;&gt;"",IF(DAY(G$10)=1,IF(MONTH(Monat.Tag1)=1,ROUND(EB.ÜVMMS*1440,0)/1440,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G$10&gt;TODAY(),EB.UJAustritt=""),0,G55),
IF(AND(G$10&gt;TODAY(),EB.UJAustritt=""),F56,F56+G55)),"")</f>
        <v>0</v>
      </c>
      <c r="H56" s="247">
        <f ca="1">IF(EB.Anwendung&lt;&gt;"",IF(DAY(H$10)=1,IF(MONTH(Monat.Tag1)=1,ROUND(EB.ÜVMMS*1440,0)/1440,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H$10&gt;TODAY(),EB.UJAustritt=""),0,H55),
IF(AND(H$10&gt;TODAY(),EB.UJAustritt=""),G56,G56+H55)),"")</f>
        <v>0</v>
      </c>
      <c r="I56" s="247">
        <f ca="1">IF(EB.Anwendung&lt;&gt;"",IF(DAY(I$10)=1,IF(MONTH(Monat.Tag1)=1,ROUND(EB.ÜVMMS*1440,0)/1440,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I$10&gt;TODAY(),EB.UJAustritt=""),0,I55),
IF(AND(I$10&gt;TODAY(),EB.UJAustritt=""),H56,H56+I55)),"")</f>
        <v>0</v>
      </c>
      <c r="J56" s="247">
        <f ca="1">IF(EB.Anwendung&lt;&gt;"",IF(DAY(J$10)=1,IF(MONTH(Monat.Tag1)=1,ROUND(EB.ÜVMMS*1440,0)/1440,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J$10&gt;TODAY(),EB.UJAustritt=""),0,J55),
IF(AND(J$10&gt;TODAY(),EB.UJAustritt=""),I56,I56+J55)),"")</f>
        <v>0</v>
      </c>
      <c r="K56" s="247">
        <f ca="1">IF(EB.Anwendung&lt;&gt;"",IF(DAY(K$10)=1,IF(MONTH(Monat.Tag1)=1,ROUND(EB.ÜVMMS*1440,0)/1440,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K$10&gt;TODAY(),EB.UJAustritt=""),0,K55),
IF(AND(K$10&gt;TODAY(),EB.UJAustritt=""),J56,J56+K55)),"")</f>
        <v>0</v>
      </c>
      <c r="L56" s="247">
        <f ca="1">IF(EB.Anwendung&lt;&gt;"",IF(DAY(L$10)=1,IF(MONTH(Monat.Tag1)=1,ROUND(EB.ÜVMMS*1440,0)/1440,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L$10&gt;TODAY(),EB.UJAustritt=""),0,L55),
IF(AND(L$10&gt;TODAY(),EB.UJAustritt=""),K56,K56+L55)),"")</f>
        <v>0</v>
      </c>
      <c r="M56" s="247">
        <f ca="1">IF(EB.Anwendung&lt;&gt;"",IF(DAY(M$10)=1,IF(MONTH(Monat.Tag1)=1,ROUND(EB.ÜVMMS*1440,0)/1440,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M$10&gt;TODAY(),EB.UJAustritt=""),0,M55),
IF(AND(M$10&gt;TODAY(),EB.UJAustritt=""),L56,L56+M55)),"")</f>
        <v>0</v>
      </c>
      <c r="N56" s="247">
        <f ca="1">IF(EB.Anwendung&lt;&gt;"",IF(DAY(N$10)=1,IF(MONTH(Monat.Tag1)=1,ROUND(EB.ÜVMMS*1440,0)/1440,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N$10&gt;TODAY(),EB.UJAustritt=""),0,N55),
IF(AND(N$10&gt;TODAY(),EB.UJAustritt=""),M56,M56+N55)),"")</f>
        <v>0</v>
      </c>
      <c r="O56" s="247">
        <f ca="1">IF(EB.Anwendung&lt;&gt;"",IF(DAY(O$10)=1,IF(MONTH(Monat.Tag1)=1,ROUND(EB.ÜVMMS*1440,0)/1440,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O$10&gt;TODAY(),EB.UJAustritt=""),0,O55),
IF(AND(O$10&gt;TODAY(),EB.UJAustritt=""),N56,N56+O55)),"")</f>
        <v>0</v>
      </c>
      <c r="P56" s="247">
        <f ca="1">IF(EB.Anwendung&lt;&gt;"",IF(DAY(P$10)=1,IF(MONTH(Monat.Tag1)=1,ROUND(EB.ÜVMMS*1440,0)/1440,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P$10&gt;TODAY(),EB.UJAustritt=""),0,P55),
IF(AND(P$10&gt;TODAY(),EB.UJAustritt=""),O56,O56+P55)),"")</f>
        <v>0</v>
      </c>
      <c r="Q56" s="247">
        <f ca="1">IF(EB.Anwendung&lt;&gt;"",IF(DAY(Q$10)=1,IF(MONTH(Monat.Tag1)=1,ROUND(EB.ÜVMMS*1440,0)/1440,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Q$10&gt;TODAY(),EB.UJAustritt=""),0,Q55),
IF(AND(Q$10&gt;TODAY(),EB.UJAustritt=""),P56,P56+Q55)),"")</f>
        <v>0</v>
      </c>
      <c r="R56" s="247">
        <f ca="1">IF(EB.Anwendung&lt;&gt;"",IF(DAY(R$10)=1,IF(MONTH(Monat.Tag1)=1,ROUND(EB.ÜVMMS*1440,0)/1440,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R$10&gt;TODAY(),EB.UJAustritt=""),0,R55),
IF(AND(R$10&gt;TODAY(),EB.UJAustritt=""),Q56,Q56+R55)),"")</f>
        <v>0</v>
      </c>
      <c r="S56" s="247">
        <f ca="1">IF(EB.Anwendung&lt;&gt;"",IF(DAY(S$10)=1,IF(MONTH(Monat.Tag1)=1,ROUND(EB.ÜVMMS*1440,0)/1440,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S$10&gt;TODAY(),EB.UJAustritt=""),0,S55),
IF(AND(S$10&gt;TODAY(),EB.UJAustritt=""),R56,R56+S55)),"")</f>
        <v>0</v>
      </c>
      <c r="T56" s="247">
        <f ca="1">IF(EB.Anwendung&lt;&gt;"",IF(DAY(T$10)=1,IF(MONTH(Monat.Tag1)=1,ROUND(EB.ÜVMMS*1440,0)/1440,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T$10&gt;TODAY(),EB.UJAustritt=""),0,T55),
IF(AND(T$10&gt;TODAY(),EB.UJAustritt=""),S56,S56+T55)),"")</f>
        <v>0</v>
      </c>
      <c r="U56" s="247">
        <f ca="1">IF(EB.Anwendung&lt;&gt;"",IF(DAY(U$10)=1,IF(MONTH(Monat.Tag1)=1,ROUND(EB.ÜVMMS*1440,0)/1440,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U$10&gt;TODAY(),EB.UJAustritt=""),0,U55),
IF(AND(U$10&gt;TODAY(),EB.UJAustritt=""),T56,T56+U55)),"")</f>
        <v>0</v>
      </c>
      <c r="V56" s="247">
        <f ca="1">IF(EB.Anwendung&lt;&gt;"",IF(DAY(V$10)=1,IF(MONTH(Monat.Tag1)=1,ROUND(EB.ÜVMMS*1440,0)/1440,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V$10&gt;TODAY(),EB.UJAustritt=""),0,V55),
IF(AND(V$10&gt;TODAY(),EB.UJAustritt=""),U56,U56+V55)),"")</f>
        <v>0</v>
      </c>
      <c r="W56" s="247">
        <f ca="1">IF(EB.Anwendung&lt;&gt;"",IF(DAY(W$10)=1,IF(MONTH(Monat.Tag1)=1,ROUND(EB.ÜVMMS*1440,0)/1440,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W$10&gt;TODAY(),EB.UJAustritt=""),0,W55),
IF(AND(W$10&gt;TODAY(),EB.UJAustritt=""),V56,V56+W55)),"")</f>
        <v>0</v>
      </c>
      <c r="X56" s="247">
        <f ca="1">IF(EB.Anwendung&lt;&gt;"",IF(DAY(X$10)=1,IF(MONTH(Monat.Tag1)=1,ROUND(EB.ÜVMMS*1440,0)/1440,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X$10&gt;TODAY(),EB.UJAustritt=""),0,X55),
IF(AND(X$10&gt;TODAY(),EB.UJAustritt=""),W56,W56+X55)),"")</f>
        <v>0</v>
      </c>
      <c r="Y56" s="247">
        <f ca="1">IF(EB.Anwendung&lt;&gt;"",IF(DAY(Y$10)=1,IF(MONTH(Monat.Tag1)=1,ROUND(EB.ÜVMMS*1440,0)/1440,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Y$10&gt;TODAY(),EB.UJAustritt=""),0,Y55),
IF(AND(Y$10&gt;TODAY(),EB.UJAustritt=""),X56,X56+Y55)),"")</f>
        <v>0</v>
      </c>
      <c r="Z56" s="247">
        <f ca="1">IF(EB.Anwendung&lt;&gt;"",IF(DAY(Z$10)=1,IF(MONTH(Monat.Tag1)=1,ROUND(EB.ÜVMMS*1440,0)/1440,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Z$10&gt;TODAY(),EB.UJAustritt=""),0,Z55),
IF(AND(Z$10&gt;TODAY(),EB.UJAustritt=""),Y56,Y56+Z55)),"")</f>
        <v>0</v>
      </c>
      <c r="AA56" s="247">
        <f ca="1">IF(EB.Anwendung&lt;&gt;"",IF(DAY(AA$10)=1,IF(MONTH(Monat.Tag1)=1,ROUND(EB.ÜVMMS*1440,0)/1440,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A$10&gt;TODAY(),EB.UJAustritt=""),0,AA55),
IF(AND(AA$10&gt;TODAY(),EB.UJAustritt=""),Z56,Z56+AA55)),"")</f>
        <v>0</v>
      </c>
      <c r="AB56" s="247">
        <f ca="1">IF(EB.Anwendung&lt;&gt;"",IF(DAY(AB$10)=1,IF(MONTH(Monat.Tag1)=1,ROUND(EB.ÜVMMS*1440,0)/1440,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B$10&gt;TODAY(),EB.UJAustritt=""),0,AB55),
IF(AND(AB$10&gt;TODAY(),EB.UJAustritt=""),AA56,AA56+AB55)),"")</f>
        <v>0</v>
      </c>
      <c r="AC56" s="247">
        <f ca="1">IF(EB.Anwendung&lt;&gt;"",IF(DAY(AC$10)=1,IF(MONTH(Monat.Tag1)=1,ROUND(EB.ÜVMMS*1440,0)/1440,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C$10&gt;TODAY(),EB.UJAustritt=""),0,AC55),
IF(AND(AC$10&gt;TODAY(),EB.UJAustritt=""),AB56,AB56+AC55)),"")</f>
        <v>0</v>
      </c>
      <c r="AD56" s="247">
        <f ca="1">IF(EB.Anwendung&lt;&gt;"",IF(DAY(AD$10)=1,IF(MONTH(Monat.Tag1)=1,ROUND(EB.ÜVMMS*1440,0)/1440,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D$10&gt;TODAY(),EB.UJAustritt=""),0,AD55),
IF(AND(AD$10&gt;TODAY(),EB.UJAustritt=""),AC56,AC56+AD55)),"")</f>
        <v>0</v>
      </c>
      <c r="AE56" s="247">
        <f ca="1">IF(EB.Anwendung&lt;&gt;"",IF(DAY(AE$10)=1,IF(MONTH(Monat.Tag1)=1,ROUND(EB.ÜVMMS*1440,0)/1440,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E$10&gt;TODAY(),EB.UJAustritt=""),0,AE55),
IF(AND(AE$10&gt;TODAY(),EB.UJAustritt=""),AD56,AD56+AE55)),"")</f>
        <v>0</v>
      </c>
      <c r="AF56" s="247">
        <f ca="1">IF(EB.Anwendung&lt;&gt;"",IF(DAY(AF$10)=1,IF(MONTH(Monat.Tag1)=1,ROUND(EB.ÜVMMS*1440,0)/1440,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F$10&gt;TODAY(),EB.UJAustritt=""),0,AF55),
IF(AND(AF$10&gt;TODAY(),EB.UJAustritt=""),AE56,AE56+AF55)),"")</f>
        <v>0</v>
      </c>
      <c r="AG56" s="205" t="str">
        <f t="shared" si="2"/>
        <v>current extra/minus hours</v>
      </c>
      <c r="AH56" s="218"/>
      <c r="AI56" s="238">
        <f ca="1">OFFSET(B56,0,DAY(EOMONTH(Monat.Tag1,0))-1,1,1)</f>
        <v>0</v>
      </c>
      <c r="AJ56" s="214"/>
      <c r="AK56" s="209"/>
      <c r="AL56" s="209"/>
      <c r="AM56" s="209"/>
      <c r="AN56" s="208"/>
      <c r="AO56" s="209"/>
      <c r="AP56" s="209"/>
      <c r="AQ56" s="119"/>
    </row>
    <row r="57" spans="1:43" s="42" customFormat="1" ht="15" customHeight="1" outlineLevel="1" x14ac:dyDescent="0.2">
      <c r="A57" s="248"/>
      <c r="B57" s="249"/>
      <c r="C57" s="249"/>
      <c r="D57" s="249"/>
      <c r="E57" s="191"/>
      <c r="F57" s="249"/>
      <c r="G57" s="249"/>
      <c r="H57" s="250"/>
      <c r="I57" s="249"/>
      <c r="J57" s="251"/>
      <c r="K57" s="249"/>
      <c r="L57" s="252"/>
      <c r="M57" s="249"/>
      <c r="N57" s="249"/>
      <c r="O57" s="250"/>
      <c r="P57" s="249"/>
      <c r="Q57" s="191"/>
      <c r="R57" s="249"/>
      <c r="S57" s="252"/>
      <c r="T57" s="249"/>
      <c r="U57" s="249"/>
      <c r="V57" s="250"/>
      <c r="W57" s="249"/>
      <c r="X57" s="253"/>
      <c r="Y57" s="249"/>
      <c r="Z57" s="191"/>
      <c r="AA57" s="249"/>
      <c r="AB57" s="249"/>
      <c r="AC57" s="250"/>
      <c r="AD57" s="249"/>
      <c r="AE57" s="191"/>
      <c r="AF57" s="254"/>
      <c r="AG57" s="212" t="s">
        <v>117</v>
      </c>
      <c r="AH57" s="43" t="s">
        <v>2</v>
      </c>
      <c r="AI57" s="73"/>
      <c r="AJ57" s="255"/>
      <c r="AK57" s="256"/>
      <c r="AL57" s="209"/>
      <c r="AM57" s="209"/>
      <c r="AN57" s="208"/>
      <c r="AO57" s="257"/>
      <c r="AP57" s="257"/>
      <c r="AQ57" s="163"/>
    </row>
    <row r="58" spans="1:43" s="44" customFormat="1" ht="15" customHeight="1" x14ac:dyDescent="0.2">
      <c r="A58" s="258"/>
      <c r="B58" s="252"/>
      <c r="C58" s="252"/>
      <c r="D58" s="252"/>
      <c r="E58" s="191"/>
      <c r="F58" s="252"/>
      <c r="G58" s="252"/>
      <c r="H58" s="252"/>
      <c r="I58" s="252"/>
      <c r="J58" s="191"/>
      <c r="K58" s="252"/>
      <c r="L58" s="252"/>
      <c r="M58" s="252"/>
      <c r="N58" s="252"/>
      <c r="O58" s="252"/>
      <c r="P58" s="252"/>
      <c r="Q58" s="191"/>
      <c r="R58" s="252"/>
      <c r="S58" s="252"/>
      <c r="T58" s="252"/>
      <c r="U58" s="252"/>
      <c r="V58" s="252"/>
      <c r="W58" s="252"/>
      <c r="X58" s="253"/>
      <c r="Y58" s="252"/>
      <c r="Z58" s="191"/>
      <c r="AA58" s="252"/>
      <c r="AB58" s="252"/>
      <c r="AC58" s="252"/>
      <c r="AD58" s="252"/>
      <c r="AE58" s="191"/>
      <c r="AF58" s="259"/>
      <c r="AG58" s="260" t="s">
        <v>78</v>
      </c>
      <c r="AH58" s="218"/>
      <c r="AI58" s="238">
        <f ca="1">IF(AH57="+",(Monat.ZUeZ.Total+AI57),(Monat.ZUeZ.Total-AI57))</f>
        <v>0</v>
      </c>
      <c r="AJ58" s="261"/>
      <c r="AK58" s="262"/>
      <c r="AL58" s="245">
        <f ca="1">IF(EB.Anwendung&lt;&gt;"",IF(MONTH(Monat.Tag1)=1,EB.MMS,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f>
        <v>0</v>
      </c>
      <c r="AM58" s="209"/>
      <c r="AN58" s="246">
        <f ca="1">AI58</f>
        <v>0</v>
      </c>
      <c r="AO58" s="209"/>
      <c r="AP58" s="209"/>
      <c r="AQ58" s="131"/>
    </row>
    <row r="59" spans="1:43" s="38" customFormat="1" ht="11.25" customHeight="1" x14ac:dyDescent="0.2">
      <c r="A59" s="220"/>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2"/>
      <c r="AG59" s="205"/>
      <c r="AH59" s="188"/>
      <c r="AI59" s="213"/>
      <c r="AJ59" s="214"/>
      <c r="AK59" s="209"/>
      <c r="AL59" s="209"/>
      <c r="AM59" s="209"/>
      <c r="AN59" s="208"/>
      <c r="AO59" s="209"/>
      <c r="AP59" s="209"/>
      <c r="AQ59" s="119"/>
    </row>
    <row r="60" spans="1:43" s="38" customFormat="1" ht="15" customHeight="1" x14ac:dyDescent="0.2">
      <c r="A60" s="212" t="s">
        <v>217</v>
      </c>
      <c r="B60" s="263" t="str">
        <f ca="1">IF(EB.Wochenarbeitszeit=50/24,IF(T.50_Vetsuisse,IF(WEEKDAY(B$10,2)=7,MAX(0,SUM(OFFSET(B51,0,-MIN(6,DAY(B$10)-1),1,MIN(7,DAY(B$10))))+IF(AND(MONTH(Monat.Tag1)&lt;&gt;1,DAY(B$10)&lt;7),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-1/24*50),""),""),IF(B45=0,"",B45))</f>
        <v/>
      </c>
      <c r="C60" s="263" t="str">
        <f ca="1">IF(EB.Wochenarbeitszeit=50/24,IF(T.50_Vetsuisse,IF(WEEKDAY(C$10,2)=7,MAX(0,SUM(OFFSET(C51,0,-MIN(6,DAY(C$10)-1),1,MIN(7,DAY(C$10))))+IF(AND(MONTH(Monat.Tag1)&lt;&gt;1,DAY(C$10)&lt;7),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-1/24*50),""),""),IF(C45=0,"",C45))</f>
        <v/>
      </c>
      <c r="D60" s="263" t="str">
        <f ca="1">IF(EB.Wochenarbeitszeit=50/24,IF(T.50_Vetsuisse,IF(WEEKDAY(D$10,2)=7,MAX(0,SUM(OFFSET(D51,0,-MIN(6,DAY(D$10)-1),1,MIN(7,DAY(D$10))))+IF(AND(MONTH(Monat.Tag1)&lt;&gt;1,DAY(D$10)&lt;7),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-1/24*50),""),""),IF(D45=0,"",D45))</f>
        <v/>
      </c>
      <c r="E60" s="264" t="str">
        <f ca="1">IF(EB.Wochenarbeitszeit=50/24,IF(T.50_Vetsuisse,IF(WEEKDAY(E$10,2)=7,MAX(0,SUM(OFFSET(E51,0,-MIN(6,DAY(E$10)-1),1,MIN(7,DAY(E$10))))+IF(AND(MONTH(Monat.Tag1)&lt;&gt;1,DAY(E$10)&lt;7),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-1/24*50),""),""),IF(E45=0,"",E45))</f>
        <v/>
      </c>
      <c r="F60" s="263" t="str">
        <f ca="1">IF(EB.Wochenarbeitszeit=50/24,IF(T.50_Vetsuisse,IF(WEEKDAY(F$10,2)=7,MAX(0,SUM(OFFSET(F51,0,-MIN(6,DAY(F$10)-1),1,MIN(7,DAY(F$10))))+IF(AND(MONTH(Monat.Tag1)&lt;&gt;1,DAY(F$10)&lt;7),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-1/24*50),""),""),IF(F45=0,"",F45))</f>
        <v/>
      </c>
      <c r="G60" s="263" t="str">
        <f ca="1">IF(EB.Wochenarbeitszeit=50/24,IF(T.50_Vetsuisse,IF(WEEKDAY(G$10,2)=7,MAX(0,SUM(OFFSET(G51,0,-MIN(6,DAY(G$10)-1),1,MIN(7,DAY(G$10))))+IF(AND(MONTH(Monat.Tag1)&lt;&gt;1,DAY(G$10)&lt;7),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-1/24*50),""),""),IF(G45=0,"",G45))</f>
        <v/>
      </c>
      <c r="H60" s="263" t="str">
        <f ca="1">IF(EB.Wochenarbeitszeit=50/24,IF(T.50_Vetsuisse,IF(WEEKDAY(H$10,2)=7,MAX(0,SUM(OFFSET(H51,0,-MIN(6,DAY(H$10)-1),1,MIN(7,DAY(H$10))))+IF(AND(MONTH(Monat.Tag1)&lt;&gt;1,DAY(H$10)&lt;7),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-1/24*50),""),""),IF(H45=0,"",H45))</f>
        <v/>
      </c>
      <c r="I60" s="263" t="str">
        <f ca="1">IF(EB.Wochenarbeitszeit=50/24,IF(T.50_Vetsuisse,IF(WEEKDAY(I$10,2)=7,MAX(0,SUM(OFFSET(I51,0,-MIN(6,DAY(I$10)-1),1,MIN(7,DAY(I$10))))+IF(AND(MONTH(Monat.Tag1)&lt;&gt;1,DAY(I$10)&lt;7),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-1/24*50),""),""),IF(I45=0,"",I45))</f>
        <v/>
      </c>
      <c r="J60" s="264" t="str">
        <f ca="1">IF(EB.Wochenarbeitszeit=50/24,IF(T.50_Vetsuisse,IF(WEEKDAY(J$10,2)=7,MAX(0,SUM(OFFSET(J51,0,-MIN(6,DAY(J$10)-1),1,MIN(7,DAY(J$10))))+IF(AND(MONTH(Monat.Tag1)&lt;&gt;1,DAY(J$10)&lt;7),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-1/24*50),""),""),IF(J45=0,"",J45))</f>
        <v/>
      </c>
      <c r="K60" s="263" t="str">
        <f ca="1">IF(EB.Wochenarbeitszeit=50/24,IF(T.50_Vetsuisse,IF(WEEKDAY(K$10,2)=7,MAX(0,SUM(OFFSET(K51,0,-MIN(6,DAY(K$10)-1),1,MIN(7,DAY(K$10))))+IF(AND(MONTH(Monat.Tag1)&lt;&gt;1,DAY(K$10)&lt;7),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-1/24*50),""),""),IF(K45=0,"",K45))</f>
        <v/>
      </c>
      <c r="L60" s="264" t="str">
        <f ca="1">IF(EB.Wochenarbeitszeit=50/24,IF(T.50_Vetsuisse,IF(WEEKDAY(L$10,2)=7,MAX(0,SUM(OFFSET(L51,0,-MIN(6,DAY(L$10)-1),1,MIN(7,DAY(L$10))))+IF(AND(MONTH(Monat.Tag1)&lt;&gt;1,DAY(L$10)&lt;7),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-1/24*50),""),""),IF(L45=0,"",L45))</f>
        <v/>
      </c>
      <c r="M60" s="263" t="str">
        <f ca="1">IF(EB.Wochenarbeitszeit=50/24,IF(T.50_Vetsuisse,IF(WEEKDAY(M$10,2)=7,MAX(0,SUM(OFFSET(M51,0,-MIN(6,DAY(M$10)-1),1,MIN(7,DAY(M$10))))+IF(AND(MONTH(Monat.Tag1)&lt;&gt;1,DAY(M$10)&lt;7),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-1/24*50),""),""),IF(M45=0,"",M45))</f>
        <v/>
      </c>
      <c r="N60" s="263" t="str">
        <f ca="1">IF(EB.Wochenarbeitszeit=50/24,IF(T.50_Vetsuisse,IF(WEEKDAY(N$10,2)=7,MAX(0,SUM(OFFSET(N51,0,-MIN(6,DAY(N$10)-1),1,MIN(7,DAY(N$10))))+IF(AND(MONTH(Monat.Tag1)&lt;&gt;1,DAY(N$10)&lt;7),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-1/24*50),""),""),IF(N45=0,"",N45))</f>
        <v/>
      </c>
      <c r="O60" s="263" t="str">
        <f ca="1">IF(EB.Wochenarbeitszeit=50/24,IF(T.50_Vetsuisse,IF(WEEKDAY(O$10,2)=7,MAX(0,SUM(OFFSET(O51,0,-MIN(6,DAY(O$10)-1),1,MIN(7,DAY(O$10))))+IF(AND(MONTH(Monat.Tag1)&lt;&gt;1,DAY(O$10)&lt;7),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-1/24*50),""),""),IF(O45=0,"",O45))</f>
        <v/>
      </c>
      <c r="P60" s="263" t="str">
        <f ca="1">IF(EB.Wochenarbeitszeit=50/24,IF(T.50_Vetsuisse,IF(WEEKDAY(P$10,2)=7,MAX(0,SUM(OFFSET(P51,0,-MIN(6,DAY(P$10)-1),1,MIN(7,DAY(P$10))))+IF(AND(MONTH(Monat.Tag1)&lt;&gt;1,DAY(P$10)&lt;7),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-1/24*50),""),""),IF(P45=0,"",P45))</f>
        <v/>
      </c>
      <c r="Q60" s="264" t="str">
        <f ca="1">IF(EB.Wochenarbeitszeit=50/24,IF(T.50_Vetsuisse,IF(WEEKDAY(Q$10,2)=7,MAX(0,SUM(OFFSET(Q51,0,-MIN(6,DAY(Q$10)-1),1,MIN(7,DAY(Q$10))))+IF(AND(MONTH(Monat.Tag1)&lt;&gt;1,DAY(Q$10)&lt;7),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-1/24*50),""),""),IF(Q45=0,"",Q45))</f>
        <v/>
      </c>
      <c r="R60" s="263" t="str">
        <f ca="1">IF(EB.Wochenarbeitszeit=50/24,IF(T.50_Vetsuisse,IF(WEEKDAY(R$10,2)=7,MAX(0,SUM(OFFSET(R51,0,-MIN(6,DAY(R$10)-1),1,MIN(7,DAY(R$10))))+IF(AND(MONTH(Monat.Tag1)&lt;&gt;1,DAY(R$10)&lt;7),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-1/24*50),""),""),IF(R45=0,"",R45))</f>
        <v/>
      </c>
      <c r="S60" s="264" t="str">
        <f ca="1">IF(EB.Wochenarbeitszeit=50/24,IF(T.50_Vetsuisse,IF(WEEKDAY(S$10,2)=7,MAX(0,SUM(OFFSET(S51,0,-MIN(6,DAY(S$10)-1),1,MIN(7,DAY(S$10))))+IF(AND(MONTH(Monat.Tag1)&lt;&gt;1,DAY(S$10)&lt;7),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-1/24*50),""),""),IF(S45=0,"",S45))</f>
        <v/>
      </c>
      <c r="T60" s="264" t="str">
        <f ca="1">IF(EB.Wochenarbeitszeit=50/24,IF(T.50_Vetsuisse,IF(WEEKDAY(T$10,2)=7,MAX(0,SUM(OFFSET(T51,0,-MIN(6,DAY(T$10)-1),1,MIN(7,DAY(T$10))))+IF(AND(MONTH(Monat.Tag1)&lt;&gt;1,DAY(T$10)&lt;7),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-1/24*50),""),""),IF(T45=0,"",T45))</f>
        <v/>
      </c>
      <c r="U60" s="263" t="str">
        <f ca="1">IF(EB.Wochenarbeitszeit=50/24,IF(T.50_Vetsuisse,IF(WEEKDAY(U$10,2)=7,MAX(0,SUM(OFFSET(U51,0,-MIN(6,DAY(U$10)-1),1,MIN(7,DAY(U$10))))+IF(AND(MONTH(Monat.Tag1)&lt;&gt;1,DAY(U$10)&lt;7),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-1/24*50),""),""),IF(U45=0,"",U45))</f>
        <v/>
      </c>
      <c r="V60" s="263" t="str">
        <f ca="1">IF(EB.Wochenarbeitszeit=50/24,IF(T.50_Vetsuisse,IF(WEEKDAY(V$10,2)=7,MAX(0,SUM(OFFSET(V51,0,-MIN(6,DAY(V$10)-1),1,MIN(7,DAY(V$10))))+IF(AND(MONTH(Monat.Tag1)&lt;&gt;1,DAY(V$10)&lt;7),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-1/24*50),""),""),IF(V45=0,"",V45))</f>
        <v/>
      </c>
      <c r="W60" s="263" t="str">
        <f ca="1">IF(EB.Wochenarbeitszeit=50/24,IF(T.50_Vetsuisse,IF(WEEKDAY(W$10,2)=7,MAX(0,SUM(OFFSET(W51,0,-MIN(6,DAY(W$10)-1),1,MIN(7,DAY(W$10))))+IF(AND(MONTH(Monat.Tag1)&lt;&gt;1,DAY(W$10)&lt;7),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-1/24*50),""),""),IF(W45=0,"",W45))</f>
        <v/>
      </c>
      <c r="X60" s="264" t="str">
        <f ca="1">IF(EB.Wochenarbeitszeit=50/24,IF(T.50_Vetsuisse,IF(WEEKDAY(X$10,2)=7,MAX(0,SUM(OFFSET(X51,0,-MIN(6,DAY(X$10)-1),1,MIN(7,DAY(X$10))))+IF(AND(MONTH(Monat.Tag1)&lt;&gt;1,DAY(X$10)&lt;7),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-1/24*50),""),""),IF(X45=0,"",X45))</f>
        <v/>
      </c>
      <c r="Y60" s="263" t="str">
        <f ca="1">IF(EB.Wochenarbeitszeit=50/24,IF(T.50_Vetsuisse,IF(WEEKDAY(Y$10,2)=7,MAX(0,SUM(OFFSET(Y51,0,-MIN(6,DAY(Y$10)-1),1,MIN(7,DAY(Y$10))))+IF(AND(MONTH(Monat.Tag1)&lt;&gt;1,DAY(Y$10)&lt;7),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-1/24*50),""),""),IF(Y45=0,"",Y45))</f>
        <v/>
      </c>
      <c r="Z60" s="265" t="str">
        <f ca="1">IF(EB.Wochenarbeitszeit=50/24,IF(T.50_Vetsuisse,IF(WEEKDAY(Z$10,2)=7,MAX(0,SUM(OFFSET(Z51,0,-MIN(6,DAY(Z$10)-1),1,MIN(7,DAY(Z$10))))+IF(AND(MONTH(Monat.Tag1)&lt;&gt;1,DAY(Z$10)&lt;7),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-1/24*50),""),""),IF(Z45=0,"",Z45))</f>
        <v/>
      </c>
      <c r="AA60" s="263" t="str">
        <f ca="1">IF(EB.Wochenarbeitszeit=50/24,IF(T.50_Vetsuisse,IF(WEEKDAY(AA$10,2)=7,MAX(0,SUM(OFFSET(AA51,0,-MIN(6,DAY(AA$10)-1),1,MIN(7,DAY(AA$10))))+IF(AND(MONTH(Monat.Tag1)&lt;&gt;1,DAY(AA$10)&lt;7),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-1/24*50),""),""),IF(AA45=0,"",AA45))</f>
        <v/>
      </c>
      <c r="AB60" s="263" t="str">
        <f ca="1">IF(EB.Wochenarbeitszeit=50/24,IF(T.50_Vetsuisse,IF(WEEKDAY(AB$10,2)=7,MAX(0,SUM(OFFSET(AB51,0,-MIN(6,DAY(AB$10)-1),1,MIN(7,DAY(AB$10))))+IF(AND(MONTH(Monat.Tag1)&lt;&gt;1,DAY(AB$10)&lt;7),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-1/24*50),""),""),IF(AB45=0,"",AB45))</f>
        <v/>
      </c>
      <c r="AC60" s="263" t="str">
        <f ca="1">IF(EB.Wochenarbeitszeit=50/24,IF(T.50_Vetsuisse,IF(WEEKDAY(AC$10,2)=7,MAX(0,SUM(OFFSET(AC51,0,-MIN(6,DAY(AC$10)-1),1,MIN(7,DAY(AC$10))))+IF(AND(MONTH(Monat.Tag1)&lt;&gt;1,DAY(AC$10)&lt;7),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-1/24*50),""),""),IF(AC45=0,"",AC45))</f>
        <v/>
      </c>
      <c r="AD60" s="263" t="str">
        <f ca="1">IF(EB.Wochenarbeitszeit=50/24,IF(T.50_Vetsuisse,IF(WEEKDAY(AD$10,2)=7,MAX(0,SUM(OFFSET(AD51,0,-MIN(6,DAY(AD$10)-1),1,MIN(7,DAY(AD$10))))+IF(AND(MONTH(Monat.Tag1)&lt;&gt;1,DAY(AD$10)&lt;7),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-1/24*50),""),""),IF(AD45=0,"",AD45))</f>
        <v/>
      </c>
      <c r="AE60" s="264" t="str">
        <f ca="1">IF(EB.Wochenarbeitszeit=50/24,IF(T.50_Vetsuisse,IF(WEEKDAY(AE$10,2)=7,MAX(0,SUM(OFFSET(AE51,0,-MIN(6,DAY(AE$10)-1),1,MIN(7,DAY(AE$10))))+IF(AND(MONTH(Monat.Tag1)&lt;&gt;1,DAY(AE$10)&lt;7),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-1/24*50),""),""),IF(AE45=0,"",AE45))</f>
        <v/>
      </c>
      <c r="AF60" s="263" t="str">
        <f ca="1">IF(EB.Wochenarbeitszeit=50/24,IF(T.50_Vetsuisse,IF(WEEKDAY(AF$10,2)=7,MAX(0,SUM(OFFSET(AF51,0,-MIN(6,DAY(AF$10)-1),1,MIN(7,DAY(AF$10))))+IF(AND(MONTH(Monat.Tag1)&lt;&gt;1,DAY(AF$10)&lt;7),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-1/24*50),""),""),IF(AF45=0,"",AF45))</f>
        <v/>
      </c>
      <c r="AG60" s="205" t="str">
        <f>A60</f>
        <v>Ordered overtime</v>
      </c>
      <c r="AH60" s="218"/>
      <c r="AI60" s="238">
        <f ca="1">SUM(B60:AF60)</f>
        <v>0</v>
      </c>
      <c r="AJ60" s="214"/>
      <c r="AK60" s="209"/>
      <c r="AL60" s="245">
        <f ca="1">IF(EB.Anwendung&lt;&gt;"",IF(MONTH(Monat.Tag1)=1,0,IF(MONTH(Monat.Tag1)=2,January!Monat.AnUeZUeVM,IF(MONTH(Monat.Tag1)=3,February!Monat.AnUeZUeVM,IF(MONTH(Monat.Tag1)=4,March!Monat.AnUeZUeVM,IF(MONTH(Monat.Tag1)=5,April!Monat.AnUeZUeVM,IF(MONTH(Monat.Tag1)=6,May!Monat.AnUeZUeVM,IF(MONTH(Monat.Tag1)=7,June!Monat.AnUeZUeVM,IF(MONTH(Monat.Tag1)=8,July!Monat.AnUeZUeVM,IF(MONTH(Monat.Tag1)=9,August!Monat.AnUeZUeVM,IF(MONTH(Monat.Tag1)=10,September!Monat.AnUeZUeVM,IF(MONTH(Monat.Tag1)=11,October!Monat.AnUeZUeVM,IF(MONTH(Monat.Tag1)=12,November!Monat.AnUeZUeVM,"")))))))))))),"")</f>
        <v>0</v>
      </c>
      <c r="AM60" s="209"/>
      <c r="AN60" s="246">
        <f ca="1">AI60+AL60</f>
        <v>0</v>
      </c>
      <c r="AO60" s="246">
        <f ca="1">SUM(OFFSET(Jahr.AngÜZ,-12,0,MONTH(Monat.Tag1),1))</f>
        <v>0</v>
      </c>
      <c r="AP60" s="246">
        <f ca="1">Jahr.AngÜZ</f>
        <v>0</v>
      </c>
      <c r="AQ60" s="119"/>
    </row>
    <row r="61" spans="1:43" s="38" customFormat="1" ht="15" customHeight="1" x14ac:dyDescent="0.2">
      <c r="A61" s="212" t="s">
        <v>218</v>
      </c>
      <c r="B61" s="27"/>
      <c r="C61" s="27"/>
      <c r="D61" s="27"/>
      <c r="E61" s="27"/>
      <c r="F61" s="27"/>
      <c r="G61" s="27"/>
      <c r="H61" s="27"/>
      <c r="I61" s="27"/>
      <c r="J61" s="27"/>
      <c r="K61" s="27"/>
      <c r="L61" s="27"/>
      <c r="M61" s="27"/>
      <c r="N61" s="27"/>
      <c r="O61" s="27"/>
      <c r="P61" s="27"/>
      <c r="Q61" s="27"/>
      <c r="R61" s="27"/>
      <c r="S61" s="27"/>
      <c r="T61" s="27"/>
      <c r="U61" s="27"/>
      <c r="V61" s="27"/>
      <c r="W61" s="27"/>
      <c r="X61" s="27"/>
      <c r="Y61" s="27"/>
      <c r="Z61" s="39"/>
      <c r="AA61" s="27"/>
      <c r="AB61" s="27"/>
      <c r="AC61" s="27"/>
      <c r="AD61" s="27"/>
      <c r="AE61" s="27"/>
      <c r="AF61" s="27"/>
      <c r="AG61" s="205" t="str">
        <f>A61</f>
        <v>Compensation overtime</v>
      </c>
      <c r="AH61" s="218"/>
      <c r="AI61" s="238">
        <f>SUM(B61:AF61)</f>
        <v>0</v>
      </c>
      <c r="AJ61" s="214"/>
      <c r="AK61" s="209"/>
      <c r="AL61" s="209"/>
      <c r="AM61" s="209"/>
      <c r="AN61" s="208"/>
      <c r="AO61" s="209"/>
      <c r="AP61" s="209"/>
      <c r="AQ61" s="119"/>
    </row>
    <row r="62" spans="1:43" s="42" customFormat="1" ht="15" hidden="1" customHeight="1" outlineLevel="1" x14ac:dyDescent="0.2">
      <c r="A62" s="248"/>
      <c r="B62" s="253"/>
      <c r="C62" s="253"/>
      <c r="D62" s="253"/>
      <c r="E62" s="191"/>
      <c r="F62" s="253"/>
      <c r="G62" s="253"/>
      <c r="H62" s="253"/>
      <c r="I62" s="253"/>
      <c r="J62" s="251"/>
      <c r="K62" s="253"/>
      <c r="L62" s="252"/>
      <c r="M62" s="253"/>
      <c r="N62" s="253"/>
      <c r="O62" s="253"/>
      <c r="P62" s="253"/>
      <c r="Q62" s="191"/>
      <c r="R62" s="253"/>
      <c r="S62" s="252"/>
      <c r="T62" s="253"/>
      <c r="U62" s="253"/>
      <c r="V62" s="253"/>
      <c r="W62" s="253"/>
      <c r="X62" s="253"/>
      <c r="Y62" s="253"/>
      <c r="Z62" s="191"/>
      <c r="AA62" s="253"/>
      <c r="AB62" s="253"/>
      <c r="AC62" s="253"/>
      <c r="AD62" s="253"/>
      <c r="AE62" s="191"/>
      <c r="AF62" s="266"/>
      <c r="AG62" s="267" t="s">
        <v>118</v>
      </c>
      <c r="AH62" s="268"/>
      <c r="AI62" s="238">
        <f ca="1">Monat.AnUeZ.Total-Monat.KomUeZ.Total</f>
        <v>0</v>
      </c>
      <c r="AJ62" s="214"/>
      <c r="AK62" s="257"/>
      <c r="AL62" s="257"/>
      <c r="AM62" s="209"/>
      <c r="AN62" s="257"/>
      <c r="AO62" s="257"/>
      <c r="AP62" s="257"/>
      <c r="AQ62" s="163"/>
    </row>
    <row r="63" spans="1:43" s="38" customFormat="1" ht="15" customHeight="1" collapsed="1" x14ac:dyDescent="0.2">
      <c r="A63" s="220"/>
      <c r="B63" s="191"/>
      <c r="C63" s="191"/>
      <c r="D63" s="191"/>
      <c r="E63" s="191"/>
      <c r="F63" s="191"/>
      <c r="G63" s="191"/>
      <c r="H63" s="191"/>
      <c r="I63" s="191"/>
      <c r="J63" s="191"/>
      <c r="K63" s="191"/>
      <c r="L63" s="252"/>
      <c r="M63" s="191"/>
      <c r="N63" s="191"/>
      <c r="O63" s="191"/>
      <c r="P63" s="191"/>
      <c r="Q63" s="191"/>
      <c r="R63" s="191"/>
      <c r="S63" s="252"/>
      <c r="T63" s="191"/>
      <c r="U63" s="191"/>
      <c r="V63" s="191"/>
      <c r="W63" s="191"/>
      <c r="X63" s="253"/>
      <c r="Y63" s="191"/>
      <c r="Z63" s="191"/>
      <c r="AA63" s="191"/>
      <c r="AB63" s="191"/>
      <c r="AC63" s="191"/>
      <c r="AD63" s="191"/>
      <c r="AE63" s="191"/>
      <c r="AF63" s="269"/>
      <c r="AG63" s="212" t="s">
        <v>215</v>
      </c>
      <c r="AH63" s="218"/>
      <c r="AI63" s="238">
        <f ca="1">IF(T.50_Vetsuisse,0,IF(AND(AI62&gt;0,Monat.ÜZZSBerechtigt=INDEX(T.JaNein.Bereich,1,1)),ROUND(AI62*0.25*1440,0)/1440,0))</f>
        <v>0</v>
      </c>
      <c r="AJ63" s="214"/>
      <c r="AK63" s="209"/>
      <c r="AL63" s="257"/>
      <c r="AM63" s="209"/>
      <c r="AN63" s="257"/>
      <c r="AO63" s="257"/>
      <c r="AP63" s="257"/>
      <c r="AQ63" s="119"/>
    </row>
    <row r="64" spans="1:43" s="38" customFormat="1" ht="15" hidden="1" customHeight="1" outlineLevel="1" x14ac:dyDescent="0.2">
      <c r="A64" s="220"/>
      <c r="B64" s="191"/>
      <c r="C64" s="191"/>
      <c r="D64" s="191"/>
      <c r="E64" s="191"/>
      <c r="F64" s="191"/>
      <c r="G64" s="191"/>
      <c r="H64" s="191"/>
      <c r="I64" s="191"/>
      <c r="J64" s="191"/>
      <c r="K64" s="191"/>
      <c r="L64" s="252"/>
      <c r="M64" s="191"/>
      <c r="N64" s="191"/>
      <c r="O64" s="191"/>
      <c r="P64" s="191"/>
      <c r="Q64" s="191"/>
      <c r="R64" s="191"/>
      <c r="S64" s="252"/>
      <c r="T64" s="191"/>
      <c r="U64" s="191"/>
      <c r="V64" s="191"/>
      <c r="W64" s="191"/>
      <c r="X64" s="253"/>
      <c r="Y64" s="191"/>
      <c r="Z64" s="191"/>
      <c r="AA64" s="191"/>
      <c r="AB64" s="191"/>
      <c r="AC64" s="191"/>
      <c r="AD64" s="191"/>
      <c r="AE64" s="191"/>
      <c r="AF64" s="269"/>
      <c r="AG64" s="212" t="s">
        <v>119</v>
      </c>
      <c r="AH64" s="45" t="s">
        <v>2</v>
      </c>
      <c r="AI64" s="46"/>
      <c r="AJ64" s="270"/>
      <c r="AK64" s="209"/>
      <c r="AL64" s="257"/>
      <c r="AM64" s="209"/>
      <c r="AN64" s="257"/>
      <c r="AO64" s="257"/>
      <c r="AP64" s="257"/>
      <c r="AQ64" s="119"/>
    </row>
    <row r="65" spans="1:43" s="42" customFormat="1" ht="15" customHeight="1" collapsed="1" x14ac:dyDescent="0.2">
      <c r="A65" s="248"/>
      <c r="B65" s="253"/>
      <c r="C65" s="253"/>
      <c r="D65" s="253"/>
      <c r="E65" s="191"/>
      <c r="F65" s="253"/>
      <c r="G65" s="253"/>
      <c r="H65" s="253"/>
      <c r="I65" s="253"/>
      <c r="J65" s="191"/>
      <c r="K65" s="253"/>
      <c r="L65" s="252"/>
      <c r="M65" s="253"/>
      <c r="N65" s="253"/>
      <c r="O65" s="253"/>
      <c r="P65" s="253"/>
      <c r="Q65" s="191"/>
      <c r="R65" s="253"/>
      <c r="S65" s="252"/>
      <c r="T65" s="253"/>
      <c r="U65" s="253"/>
      <c r="V65" s="253"/>
      <c r="W65" s="253"/>
      <c r="X65" s="253"/>
      <c r="Y65" s="253"/>
      <c r="Z65" s="191"/>
      <c r="AA65" s="253"/>
      <c r="AB65" s="253"/>
      <c r="AC65" s="253"/>
      <c r="AD65" s="253"/>
      <c r="AE65" s="191"/>
      <c r="AF65" s="266"/>
      <c r="AG65" s="260" t="s">
        <v>219</v>
      </c>
      <c r="AH65" s="268"/>
      <c r="AI65" s="238">
        <f ca="1">IF(AH64="+",(AI62+AI63+AI64),(AI62+AI63-AI64))</f>
        <v>0</v>
      </c>
      <c r="AJ65" s="261"/>
      <c r="AK65" s="271"/>
      <c r="AL65" s="245">
        <f ca="1">IF(EB.Anwendung&lt;&gt;"",IF(MONTH(Monat.Tag1)=1,EB.UeZ,IF(MONTH(Monat.Tag1)=2,January!Monat.UeZUeVM,IF(MONTH(Monat.Tag1)=3,February!Monat.UeZUeVM,IF(MONTH(Monat.Tag1)=4,March!Monat.UeZUeVM,IF(MONTH(Monat.Tag1)=5,April!Monat.UeZUeVM,IF(MONTH(Monat.Tag1)=6,May!Monat.UeZUeVM,IF(MONTH(Monat.Tag1)=7,June!Monat.UeZUeVM,IF(MONTH(Monat.Tag1)=8,July!Monat.UeZUeVM,IF(MONTH(Monat.Tag1)=9,August!Monat.UeZUeVM,IF(MONTH(Monat.Tag1)=10,September!Monat.UeZUeVM,IF(MONTH(Monat.Tag1)=11,October!Monat.UeZUeVM,IF(MONTH(Monat.Tag1)=12,November!Monat.UeZUeVM,"")))))))))))),"")</f>
        <v>0</v>
      </c>
      <c r="AM65" s="209"/>
      <c r="AN65" s="246">
        <f ca="1">AI65+AL65</f>
        <v>0</v>
      </c>
      <c r="AO65" s="246">
        <f ca="1">SUM(OFFSET(J.UeZ.Total,-12,0,MONTH(Monat.Tag1),1))</f>
        <v>0</v>
      </c>
      <c r="AP65" s="246">
        <f ca="1">J.UeZ.Total</f>
        <v>0</v>
      </c>
      <c r="AQ65" s="163"/>
    </row>
    <row r="66" spans="1:43" s="38" customFormat="1" ht="11.25" customHeight="1" outlineLevel="1" x14ac:dyDescent="0.2">
      <c r="A66" s="220"/>
      <c r="B66" s="354">
        <f ca="1">IF(EB.Anwendung&lt;&gt;"",
IF(AND(B$10&gt;TODAY(),$W$7&gt;0,B52&lt;=0),0,
IF(AND(B$10&gt;TODAY(),$W$7&lt;=0,B53&lt;=0),0,
IF(B85&lt;=0,1,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f>
        <v>0</v>
      </c>
      <c r="C66" s="354">
        <f ca="1">IF(EB.Anwendung&lt;&gt;"",
IF(AND(C$10&gt;TODAY(),$W$7&gt;0,C52&lt;=0),0,
IF(AND(C$10&gt;TODAY(),$W$7&lt;=0,C53&lt;=0),0,
IF(C85&lt;=0,1,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f>
        <v>0</v>
      </c>
      <c r="D66" s="354">
        <f ca="1">IF(EB.Anwendung&lt;&gt;"",
IF(AND(D$10&gt;TODAY(),$W$7&gt;0,D52&lt;=0),0,
IF(AND(D$10&gt;TODAY(),$W$7&lt;=0,D53&lt;=0),0,
IF(D85&lt;=0,1,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f>
        <v>1</v>
      </c>
      <c r="E66" s="354">
        <f ca="1">IF(EB.Anwendung&lt;&gt;"",
IF(AND(E$10&gt;TODAY(),$W$7&gt;0,E52&lt;=0),0,
IF(AND(E$10&gt;TODAY(),$W$7&lt;=0,E53&lt;=0),0,
IF(E85&lt;=0,1,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f>
        <v>1</v>
      </c>
      <c r="F66" s="354">
        <f ca="1">IF(EB.Anwendung&lt;&gt;"",
IF(AND(F$10&gt;TODAY(),$W$7&gt;0,F52&lt;=0),0,
IF(AND(F$10&gt;TODAY(),$W$7&lt;=0,F53&lt;=0),0,
IF(F85&lt;=0,1,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f>
        <v>1</v>
      </c>
      <c r="G66" s="354">
        <f ca="1">IF(EB.Anwendung&lt;&gt;"",
IF(AND(G$10&gt;TODAY(),$W$7&gt;0,G52&lt;=0),0,
IF(AND(G$10&gt;TODAY(),$W$7&lt;=0,G53&lt;=0),0,
IF(G85&lt;=0,1,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f>
        <v>1</v>
      </c>
      <c r="H66" s="354">
        <f ca="1">IF(EB.Anwendung&lt;&gt;"",
IF(AND(H$10&gt;TODAY(),$W$7&gt;0,H52&lt;=0),0,
IF(AND(H$10&gt;TODAY(),$W$7&lt;=0,H53&lt;=0),0,
IF(H85&lt;=0,1,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f>
        <v>1</v>
      </c>
      <c r="I66" s="354">
        <f ca="1">IF(EB.Anwendung&lt;&gt;"",
IF(AND(I$10&gt;TODAY(),$W$7&gt;0,I52&lt;=0),0,
IF(AND(I$10&gt;TODAY(),$W$7&lt;=0,I53&lt;=0),0,
IF(I85&lt;=0,1,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f>
        <v>0</v>
      </c>
      <c r="J66" s="354">
        <f ca="1">IF(EB.Anwendung&lt;&gt;"",
IF(AND(J$10&gt;TODAY(),$W$7&gt;0,J52&lt;=0),0,
IF(AND(J$10&gt;TODAY(),$W$7&lt;=0,J53&lt;=0),0,
IF(J85&lt;=0,1,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f>
        <v>0</v>
      </c>
      <c r="K66" s="354">
        <f ca="1">IF(EB.Anwendung&lt;&gt;"",
IF(AND(K$10&gt;TODAY(),$W$7&gt;0,K52&lt;=0),0,
IF(AND(K$10&gt;TODAY(),$W$7&lt;=0,K53&lt;=0),0,
IF(K85&lt;=0,1,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f>
        <v>1</v>
      </c>
      <c r="L66" s="431">
        <f ca="1">IF(EB.Anwendung&lt;&gt;"",
IF(AND(L$10&gt;TODAY(),$W$7&gt;0,L52&lt;=0),0,
IF(AND(L$10&gt;TODAY(),$W$7&lt;=0,L53&lt;=0),0,
IF(L85&lt;=0,1,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f>
        <v>1</v>
      </c>
      <c r="M66" s="354">
        <f ca="1">IF(EB.Anwendung&lt;&gt;"",
IF(AND(M$10&gt;TODAY(),$W$7&gt;0,M52&lt;=0),0,
IF(AND(M$10&gt;TODAY(),$W$7&lt;=0,M53&lt;=0),0,
IF(M85&lt;=0,1,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f>
        <v>1</v>
      </c>
      <c r="N66" s="354">
        <f ca="1">IF(EB.Anwendung&lt;&gt;"",
IF(AND(N$10&gt;TODAY(),$W$7&gt;0,N52&lt;=0),0,
IF(AND(N$10&gt;TODAY(),$W$7&lt;=0,N53&lt;=0),0,
IF(N85&lt;=0,1,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f>
        <v>1</v>
      </c>
      <c r="O66" s="354">
        <f ca="1">IF(EB.Anwendung&lt;&gt;"",
IF(AND(O$10&gt;TODAY(),$W$7&gt;0,O52&lt;=0),0,
IF(AND(O$10&gt;TODAY(),$W$7&lt;=0,O53&lt;=0),0,
IF(O85&lt;=0,1,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f>
        <v>1</v>
      </c>
      <c r="P66" s="354">
        <f ca="1">IF(EB.Anwendung&lt;&gt;"",
IF(AND(P$10&gt;TODAY(),$W$7&gt;0,P52&lt;=0),0,
IF(AND(P$10&gt;TODAY(),$W$7&lt;=0,P53&lt;=0),0,
IF(P85&lt;=0,1,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f>
        <v>0</v>
      </c>
      <c r="Q66" s="354">
        <f ca="1">IF(EB.Anwendung&lt;&gt;"",
IF(AND(Q$10&gt;TODAY(),$W$7&gt;0,Q52&lt;=0),0,
IF(AND(Q$10&gt;TODAY(),$W$7&lt;=0,Q53&lt;=0),0,
IF(Q85&lt;=0,1,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f>
        <v>0</v>
      </c>
      <c r="R66" s="354">
        <f ca="1">IF(EB.Anwendung&lt;&gt;"",
IF(AND(R$10&gt;TODAY(),$W$7&gt;0,R52&lt;=0),0,
IF(AND(R$10&gt;TODAY(),$W$7&lt;=0,R53&lt;=0),0,
IF(R85&lt;=0,1,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f>
        <v>1</v>
      </c>
      <c r="S66" s="431">
        <f ca="1">IF(EB.Anwendung&lt;&gt;"",
IF(AND(S$10&gt;TODAY(),$W$7&gt;0,S52&lt;=0),0,
IF(AND(S$10&gt;TODAY(),$W$7&lt;=0,S53&lt;=0),0,
IF(S85&lt;=0,1,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f>
        <v>1</v>
      </c>
      <c r="T66" s="354">
        <f ca="1">IF(EB.Anwendung&lt;&gt;"",
IF(AND(T$10&gt;TODAY(),$W$7&gt;0,T52&lt;=0),0,
IF(AND(T$10&gt;TODAY(),$W$7&lt;=0,T53&lt;=0),0,
IF(T85&lt;=0,1,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f>
        <v>1</v>
      </c>
      <c r="U66" s="354">
        <f ca="1">IF(EB.Anwendung&lt;&gt;"",
IF(AND(U$10&gt;TODAY(),$W$7&gt;0,U52&lt;=0),0,
IF(AND(U$10&gt;TODAY(),$W$7&lt;=0,U53&lt;=0),0,
IF(U85&lt;=0,1,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f>
        <v>1</v>
      </c>
      <c r="V66" s="354">
        <f ca="1">IF(EB.Anwendung&lt;&gt;"",
IF(AND(V$10&gt;TODAY(),$W$7&gt;0,V52&lt;=0),0,
IF(AND(V$10&gt;TODAY(),$W$7&lt;=0,V53&lt;=0),0,
IF(V85&lt;=0,1,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f>
        <v>1</v>
      </c>
      <c r="W66" s="354">
        <f ca="1">IF(EB.Anwendung&lt;&gt;"",
IF(AND(W$10&gt;TODAY(),$W$7&gt;0,W52&lt;=0),0,
IF(AND(W$10&gt;TODAY(),$W$7&lt;=0,W53&lt;=0),0,
IF(W85&lt;=0,1,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f>
        <v>0</v>
      </c>
      <c r="X66" s="432">
        <f ca="1">IF(EB.Anwendung&lt;&gt;"",
IF(AND(X$10&gt;TODAY(),$W$7&gt;0,X52&lt;=0),0,
IF(AND(X$10&gt;TODAY(),$W$7&lt;=0,X53&lt;=0),0,
IF(X85&lt;=0,1,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f>
        <v>0</v>
      </c>
      <c r="Y66" s="354">
        <f ca="1">IF(EB.Anwendung&lt;&gt;"",
IF(AND(Y$10&gt;TODAY(),$W$7&gt;0,Y52&lt;=0),0,
IF(AND(Y$10&gt;TODAY(),$W$7&lt;=0,Y53&lt;=0),0,
IF(Y85&lt;=0,1,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f>
        <v>1</v>
      </c>
      <c r="Z66" s="354">
        <f ca="1">IF(EB.Anwendung&lt;&gt;"",
IF(AND(Z$10&gt;TODAY(),$W$7&gt;0,Z52&lt;=0),0,
IF(AND(Z$10&gt;TODAY(),$W$7&lt;=0,Z53&lt;=0),0,
IF(Z85&lt;=0,1,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f>
        <v>1</v>
      </c>
      <c r="AA66" s="354">
        <f ca="1">IF(EB.Anwendung&lt;&gt;"",
IF(AND(AA$10&gt;TODAY(),$W$7&gt;0,AA52&lt;=0),0,
IF(AND(AA$10&gt;TODAY(),$W$7&lt;=0,AA53&lt;=0),0,
IF(AA85&lt;=0,1,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f>
        <v>1</v>
      </c>
      <c r="AB66" s="354">
        <f ca="1">IF(EB.Anwendung&lt;&gt;"",
IF(AND(AB$10&gt;TODAY(),$W$7&gt;0,AB52&lt;=0),0,
IF(AND(AB$10&gt;TODAY(),$W$7&lt;=0,AB53&lt;=0),0,
IF(AB85&lt;=0,1,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f>
        <v>1</v>
      </c>
      <c r="AC66" s="354">
        <f ca="1">IF(EB.Anwendung&lt;&gt;"",
IF(AND(AC$10&gt;TODAY(),$W$7&gt;0,AC52&lt;=0),0,
IF(AND(AC$10&gt;TODAY(),$W$7&lt;=0,AC53&lt;=0),0,
IF(AC85&lt;=0,1,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f>
        <v>1</v>
      </c>
      <c r="AD66" s="354">
        <f ca="1">IF(EB.Anwendung&lt;&gt;"",
IF(AND(AD$10&gt;TODAY(),$W$7&gt;0,AD52&lt;=0),0,
IF(AND(AD$10&gt;TODAY(),$W$7&lt;=0,AD53&lt;=0),0,
IF(AD85&lt;=0,1,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f>
        <v>0</v>
      </c>
      <c r="AE66" s="354">
        <f ca="1">IF(EB.Anwendung&lt;&gt;"",
IF(AND(AE$10&gt;TODAY(),$W$7&gt;0,AE52&lt;=0),0,
IF(AND(AE$10&gt;TODAY(),$W$7&lt;=0,AE53&lt;=0),0,
IF(AE85&lt;=0,1,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f>
        <v>0</v>
      </c>
      <c r="AF66" s="433">
        <f ca="1">IF(EB.Anwendung&lt;&gt;"",
IF(AND(AF$10&gt;TODAY(),$W$7&gt;0,AF52&lt;=0),0,
IF(AND(AF$10&gt;TODAY(),$W$7&lt;=0,AF53&lt;=0),0,
IF(AF85&lt;=0,1,
IF(DAY(AF$10)=1,IF(MONTH(Monat.Tag1)=1,1,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E68)))),"")</f>
        <v>1</v>
      </c>
      <c r="AG66" s="212"/>
      <c r="AH66" s="188"/>
      <c r="AI66" s="213"/>
      <c r="AJ66" s="214"/>
      <c r="AK66" s="209"/>
      <c r="AL66" s="209"/>
      <c r="AM66" s="209"/>
      <c r="AN66" s="208"/>
      <c r="AO66" s="209"/>
      <c r="AP66" s="209"/>
      <c r="AQ66" s="119"/>
    </row>
    <row r="67" spans="1:43" s="38" customFormat="1" ht="15" customHeight="1" outlineLevel="1" x14ac:dyDescent="0.2">
      <c r="A67" s="212" t="s">
        <v>79</v>
      </c>
      <c r="B67" s="27"/>
      <c r="C67" s="27"/>
      <c r="D67" s="27"/>
      <c r="E67" s="27"/>
      <c r="F67" s="27"/>
      <c r="G67" s="27"/>
      <c r="H67" s="27"/>
      <c r="I67" s="27"/>
      <c r="J67" s="27"/>
      <c r="K67" s="27"/>
      <c r="L67" s="27"/>
      <c r="M67" s="27"/>
      <c r="N67" s="27"/>
      <c r="O67" s="27"/>
      <c r="P67" s="27"/>
      <c r="Q67" s="27"/>
      <c r="R67" s="27"/>
      <c r="S67" s="27"/>
      <c r="T67" s="27"/>
      <c r="U67" s="27"/>
      <c r="V67" s="27"/>
      <c r="W67" s="27"/>
      <c r="X67" s="27"/>
      <c r="Y67" s="27"/>
      <c r="Z67" s="39"/>
      <c r="AA67" s="27"/>
      <c r="AB67" s="27"/>
      <c r="AC67" s="27"/>
      <c r="AD67" s="27"/>
      <c r="AE67" s="27"/>
      <c r="AF67" s="27"/>
      <c r="AG67" s="205" t="str">
        <f ca="1">A67 &amp; IFERROR(IF(SUMPRODUCT((B66:AF66=0)*(B67:AF67&gt;0))&gt;0," (!)",""),"")</f>
        <v>Compensation working hours</v>
      </c>
      <c r="AH67" s="218"/>
      <c r="AI67" s="238">
        <f>SUM(B67:AF67)</f>
        <v>0</v>
      </c>
      <c r="AJ67" s="261"/>
      <c r="AK67" s="245">
        <f ca="1">OFFSET(EB.MKAStd.Knoten,MONTH(Monat.Tag1),0,1,1)</f>
        <v>0.4375</v>
      </c>
      <c r="AL67" s="272">
        <f ca="1">IF(EB.Anwendung&lt;&gt;"",IF(MONTH(Monat.Tag1)=1,0,IF(MONTH(Monat.Tag1)=2,January!Monat.KomUeVM,IF(MONTH(Monat.Tag1)=3,February!Monat.KomUeVM,IF(MONTH(Monat.Tag1)=4,March!Monat.KomUeVM,IF(MONTH(Monat.Tag1)=5,April!Monat.KomUeVM,IF(MONTH(Monat.Tag1)=6,May!Monat.KomUeVM,IF(MONTH(Monat.Tag1)=7,June!Monat.KomUeVM,IF(MONTH(Monat.Tag1)=8,July!Monat.KomUeVM,IF(MONTH(Monat.Tag1)=9,August!Monat.KomUeVM,IF(MONTH(Monat.Tag1)=10,September!Monat.KomUeVM,IF(MONTH(Monat.Tag1)=11,October!Monat.KomUeVM,IF(MONTH(Monat.Tag1)=12,November!Monat.KomUeVM,"")))))))))))),"")</f>
        <v>3.0625</v>
      </c>
      <c r="AM67" s="209"/>
      <c r="AN67" s="246">
        <f ca="1">AK67+AL67-Monat.KomAZ.Total</f>
        <v>3.5</v>
      </c>
      <c r="AO67" s="246">
        <f ca="1">Jahresabrechnung!P12-SUM(OFFSET(Jahresabrechnung!P15,0,0,MONTH(Monat.Tag1),1))</f>
        <v>5.25</v>
      </c>
      <c r="AP67" s="246">
        <f ca="1">Jahresabrechnung!P28</f>
        <v>5.25</v>
      </c>
      <c r="AQ67" s="119"/>
    </row>
    <row r="68" spans="1:43" s="38" customFormat="1" ht="11.25" customHeight="1" x14ac:dyDescent="0.2">
      <c r="A68" s="220"/>
      <c r="B68" s="434">
        <f ca="1">IF(EB.Anwendung&lt;&gt;"",
IF(B67&gt;0,0,
IF(SUM(B23,B45)&gt;0,1,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
)),"")</f>
        <v>1</v>
      </c>
      <c r="C68" s="434">
        <f ca="1">IF(EB.Anwendung&lt;&gt;"",
IF(C67&gt;0,0,
IF(SUM(C23,C45)&gt;0,1,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
)),"")</f>
        <v>1</v>
      </c>
      <c r="D68" s="434">
        <f ca="1">IF(EB.Anwendung&lt;&gt;"",
IF(D67&gt;0,0,
IF(SUM(D23,D45)&gt;0,1,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
)),"")</f>
        <v>1</v>
      </c>
      <c r="E68" s="434">
        <f ca="1">IF(EB.Anwendung&lt;&gt;"",
IF(E67&gt;0,0,
IF(SUM(E23,E45)&gt;0,1,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
)),"")</f>
        <v>1</v>
      </c>
      <c r="F68" s="434">
        <f ca="1">IF(EB.Anwendung&lt;&gt;"",
IF(F67&gt;0,0,
IF(SUM(F23,F45)&gt;0,1,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
)),"")</f>
        <v>1</v>
      </c>
      <c r="G68" s="434">
        <f ca="1">IF(EB.Anwendung&lt;&gt;"",
IF(G67&gt;0,0,
IF(SUM(G23,G45)&gt;0,1,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
)),"")</f>
        <v>1</v>
      </c>
      <c r="H68" s="434">
        <f ca="1">IF(EB.Anwendung&lt;&gt;"",
IF(H67&gt;0,0,
IF(SUM(H23,H45)&gt;0,1,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
)),"")</f>
        <v>1</v>
      </c>
      <c r="I68" s="434">
        <f ca="1">IF(EB.Anwendung&lt;&gt;"",
IF(I67&gt;0,0,
IF(SUM(I23,I45)&gt;0,1,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
)),"")</f>
        <v>1</v>
      </c>
      <c r="J68" s="434">
        <f ca="1">IF(EB.Anwendung&lt;&gt;"",
IF(J67&gt;0,0,
IF(SUM(J23,J45)&gt;0,1,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
)),"")</f>
        <v>1</v>
      </c>
      <c r="K68" s="434">
        <f ca="1">IF(EB.Anwendung&lt;&gt;"",
IF(K67&gt;0,0,
IF(SUM(K23,K45)&gt;0,1,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
)),"")</f>
        <v>1</v>
      </c>
      <c r="L68" s="434">
        <f ca="1">IF(EB.Anwendung&lt;&gt;"",
IF(L67&gt;0,0,
IF(SUM(L23,L45)&gt;0,1,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
)),"")</f>
        <v>1</v>
      </c>
      <c r="M68" s="434">
        <f ca="1">IF(EB.Anwendung&lt;&gt;"",
IF(M67&gt;0,0,
IF(SUM(M23,M45)&gt;0,1,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
)),"")</f>
        <v>1</v>
      </c>
      <c r="N68" s="434">
        <f ca="1">IF(EB.Anwendung&lt;&gt;"",
IF(N67&gt;0,0,
IF(SUM(N23,N45)&gt;0,1,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
)),"")</f>
        <v>1</v>
      </c>
      <c r="O68" s="434">
        <f ca="1">IF(EB.Anwendung&lt;&gt;"",
IF(O67&gt;0,0,
IF(SUM(O23,O45)&gt;0,1,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
)),"")</f>
        <v>1</v>
      </c>
      <c r="P68" s="434">
        <f ca="1">IF(EB.Anwendung&lt;&gt;"",
IF(P67&gt;0,0,
IF(SUM(P23,P45)&gt;0,1,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
)),"")</f>
        <v>1</v>
      </c>
      <c r="Q68" s="434">
        <f ca="1">IF(EB.Anwendung&lt;&gt;"",
IF(Q67&gt;0,0,
IF(SUM(Q23,Q45)&gt;0,1,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
)),"")</f>
        <v>1</v>
      </c>
      <c r="R68" s="434">
        <f ca="1">IF(EB.Anwendung&lt;&gt;"",
IF(R67&gt;0,0,
IF(SUM(R23,R45)&gt;0,1,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
)),"")</f>
        <v>1</v>
      </c>
      <c r="S68" s="434">
        <f ca="1">IF(EB.Anwendung&lt;&gt;"",
IF(S67&gt;0,0,
IF(SUM(S23,S45)&gt;0,1,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
)),"")</f>
        <v>1</v>
      </c>
      <c r="T68" s="434">
        <f ca="1">IF(EB.Anwendung&lt;&gt;"",
IF(T67&gt;0,0,
IF(SUM(T23,T45)&gt;0,1,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
)),"")</f>
        <v>1</v>
      </c>
      <c r="U68" s="434">
        <f ca="1">IF(EB.Anwendung&lt;&gt;"",
IF(U67&gt;0,0,
IF(SUM(U23,U45)&gt;0,1,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
)),"")</f>
        <v>1</v>
      </c>
      <c r="V68" s="434">
        <f ca="1">IF(EB.Anwendung&lt;&gt;"",
IF(V67&gt;0,0,
IF(SUM(V23,V45)&gt;0,1,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
)),"")</f>
        <v>1</v>
      </c>
      <c r="W68" s="434">
        <f ca="1">IF(EB.Anwendung&lt;&gt;"",
IF(W67&gt;0,0,
IF(SUM(W23,W45)&gt;0,1,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
)),"")</f>
        <v>1</v>
      </c>
      <c r="X68" s="434">
        <f ca="1">IF(EB.Anwendung&lt;&gt;"",
IF(X67&gt;0,0,
IF(SUM(X23,X45)&gt;0,1,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
)),"")</f>
        <v>1</v>
      </c>
      <c r="Y68" s="434">
        <f ca="1">IF(EB.Anwendung&lt;&gt;"",
IF(Y67&gt;0,0,
IF(SUM(Y23,Y45)&gt;0,1,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
)),"")</f>
        <v>1</v>
      </c>
      <c r="Z68" s="434">
        <f ca="1">IF(EB.Anwendung&lt;&gt;"",
IF(Z67&gt;0,0,
IF(SUM(Z23,Z45)&gt;0,1,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
)),"")</f>
        <v>1</v>
      </c>
      <c r="AA68" s="434">
        <f ca="1">IF(EB.Anwendung&lt;&gt;"",
IF(AA67&gt;0,0,
IF(SUM(AA23,AA45)&gt;0,1,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
)),"")</f>
        <v>1</v>
      </c>
      <c r="AB68" s="434">
        <f ca="1">IF(EB.Anwendung&lt;&gt;"",
IF(AB67&gt;0,0,
IF(SUM(AB23,AB45)&gt;0,1,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
)),"")</f>
        <v>1</v>
      </c>
      <c r="AC68" s="434">
        <f ca="1">IF(EB.Anwendung&lt;&gt;"",
IF(AC67&gt;0,0,
IF(SUM(AC23,AC45)&gt;0,1,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
)),"")</f>
        <v>1</v>
      </c>
      <c r="AD68" s="434">
        <f ca="1">IF(EB.Anwendung&lt;&gt;"",
IF(AD67&gt;0,0,
IF(SUM(AD23,AD45)&gt;0,1,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
)),"")</f>
        <v>1</v>
      </c>
      <c r="AE68" s="434">
        <f ca="1">IF(EB.Anwendung&lt;&gt;"",
IF(AE67&gt;0,0,
IF(SUM(AE23,AE45)&gt;0,1,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
)),"")</f>
        <v>1</v>
      </c>
      <c r="AF68" s="435">
        <f ca="1">IF(EB.Anwendung&lt;&gt;"",
IF(AF67&gt;0,0,
IF(SUM(AF23,AF45)&gt;0,1,
IF(DAY(AF$10)=1,IF(MONTH(Monat.Tag1)=1,1,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E68)
)),"")</f>
        <v>1</v>
      </c>
      <c r="AG68" s="205"/>
      <c r="AH68" s="188"/>
      <c r="AI68" s="213"/>
      <c r="AJ68" s="214"/>
      <c r="AK68" s="209"/>
      <c r="AL68" s="209"/>
      <c r="AM68" s="209"/>
      <c r="AN68" s="436">
        <f ca="1">IF(OFFSET(A68,0,DAY(EOMONTH(Monat.Tag1,0)))=0,0,1)</f>
        <v>1</v>
      </c>
      <c r="AO68" s="209"/>
      <c r="AP68" s="209"/>
      <c r="AQ68" s="119"/>
    </row>
    <row r="69" spans="1:43" s="38" customFormat="1" ht="15" hidden="1" customHeight="1" x14ac:dyDescent="0.2">
      <c r="A69" s="212" t="s">
        <v>220</v>
      </c>
      <c r="B69" s="273">
        <f t="shared" ref="B69:AF69" ca="1" si="18">IF(AND(T.50_Vetsuisse,B72=INDEX(T.JaNein.Bereich,1,1),B73&gt;0,MOD(IFERROR(MATCH(1,B13:B22,0),1),2)=0),1,
IF(AND(T.ServiceCenterIrchel,B72=INDEX(T.JaNein.Bereich,1,1),B77&gt;0),1,
IF(AND(T.50_Vetsuisse=FALSE,T.ServiceCenterIrchel=FALSE,B77&gt;0),1,0)))</f>
        <v>0</v>
      </c>
      <c r="C69" s="273">
        <f t="shared" ca="1" si="18"/>
        <v>0</v>
      </c>
      <c r="D69" s="273">
        <f t="shared" ca="1" si="18"/>
        <v>0</v>
      </c>
      <c r="E69" s="273">
        <f t="shared" ca="1" si="18"/>
        <v>0</v>
      </c>
      <c r="F69" s="273">
        <f t="shared" ca="1" si="18"/>
        <v>0</v>
      </c>
      <c r="G69" s="273">
        <f t="shared" ca="1" si="18"/>
        <v>0</v>
      </c>
      <c r="H69" s="273">
        <f t="shared" ca="1" si="18"/>
        <v>0</v>
      </c>
      <c r="I69" s="273">
        <f t="shared" ca="1" si="18"/>
        <v>0</v>
      </c>
      <c r="J69" s="273">
        <f t="shared" ca="1" si="18"/>
        <v>0</v>
      </c>
      <c r="K69" s="273">
        <f t="shared" ca="1" si="18"/>
        <v>0</v>
      </c>
      <c r="L69" s="273">
        <f t="shared" ca="1" si="18"/>
        <v>0</v>
      </c>
      <c r="M69" s="273">
        <f t="shared" ca="1" si="18"/>
        <v>0</v>
      </c>
      <c r="N69" s="273">
        <f t="shared" ca="1" si="18"/>
        <v>0</v>
      </c>
      <c r="O69" s="273">
        <f t="shared" ca="1" si="18"/>
        <v>0</v>
      </c>
      <c r="P69" s="273">
        <f t="shared" ca="1" si="18"/>
        <v>0</v>
      </c>
      <c r="Q69" s="273">
        <f t="shared" ca="1" si="18"/>
        <v>0</v>
      </c>
      <c r="R69" s="273">
        <f t="shared" ca="1" si="18"/>
        <v>0</v>
      </c>
      <c r="S69" s="273">
        <f t="shared" ca="1" si="18"/>
        <v>0</v>
      </c>
      <c r="T69" s="273">
        <f t="shared" ca="1" si="18"/>
        <v>0</v>
      </c>
      <c r="U69" s="273">
        <f t="shared" ca="1" si="18"/>
        <v>0</v>
      </c>
      <c r="V69" s="273">
        <f t="shared" ca="1" si="18"/>
        <v>0</v>
      </c>
      <c r="W69" s="273">
        <f t="shared" ca="1" si="18"/>
        <v>0</v>
      </c>
      <c r="X69" s="273">
        <f t="shared" ca="1" si="18"/>
        <v>0</v>
      </c>
      <c r="Y69" s="273">
        <f t="shared" ca="1" si="18"/>
        <v>0</v>
      </c>
      <c r="Z69" s="273">
        <f t="shared" ca="1" si="18"/>
        <v>0</v>
      </c>
      <c r="AA69" s="273">
        <f t="shared" ca="1" si="18"/>
        <v>0</v>
      </c>
      <c r="AB69" s="273">
        <f t="shared" ca="1" si="18"/>
        <v>0</v>
      </c>
      <c r="AC69" s="273">
        <f t="shared" ca="1" si="18"/>
        <v>0</v>
      </c>
      <c r="AD69" s="273">
        <f t="shared" ca="1" si="18"/>
        <v>0</v>
      </c>
      <c r="AE69" s="273">
        <f t="shared" ca="1" si="18"/>
        <v>0</v>
      </c>
      <c r="AF69" s="273">
        <f t="shared" ca="1" si="18"/>
        <v>0</v>
      </c>
      <c r="AG69" s="205" t="str">
        <f>A69</f>
        <v>Counter night shift</v>
      </c>
      <c r="AH69" s="274"/>
      <c r="AI69" s="275">
        <f ca="1">SUM(B69:AF69)</f>
        <v>0</v>
      </c>
      <c r="AJ69" s="261"/>
      <c r="AK69" s="224"/>
      <c r="AL69" s="276">
        <f ca="1">IF(EB.Anwendung&lt;&gt;"",IF(MONTH(Monat.Tag1)=1,0,IF(MONTH(Monat.Tag1)=2,January!Monat.ZählerNDUe,IF(MONTH(Monat.Tag1)=3,February!Monat.ZählerNDUe,IF(MONTH(Monat.Tag1)=4,March!Monat.ZählerNDUe,IF(MONTH(Monat.Tag1)=5,April!Monat.ZählerNDUe,IF(MONTH(Monat.Tag1)=6,May!Monat.ZählerNDUe,IF(MONTH(Monat.Tag1)=7,June!Monat.ZählerNDUe,IF(MONTH(Monat.Tag1)=8,July!Monat.ZählerNDUe,IF(MONTH(Monat.Tag1)=9,August!Monat.ZählerNDUe,IF(MONTH(Monat.Tag1)=10,September!Monat.ZählerNDUe,IF(MONTH(Monat.Tag1)=11,October!Monat.ZählerNDUe,IF(MONTH(Monat.Tag1)=12,November!Monat.ZählerNDUe,"")))))))))))),"")</f>
        <v>0</v>
      </c>
      <c r="AM69" s="209"/>
      <c r="AN69" s="277">
        <f ca="1">AL69+AI69</f>
        <v>0</v>
      </c>
      <c r="AO69" s="208"/>
      <c r="AP69" s="208"/>
      <c r="AQ69" s="119"/>
    </row>
    <row r="70" spans="1:43" s="38" customFormat="1" ht="15" hidden="1" customHeight="1" x14ac:dyDescent="0.2">
      <c r="A70" s="212" t="s">
        <v>221</v>
      </c>
      <c r="B70" s="273">
        <f t="shared" ref="B70:AF70" ca="1" si="19">IF(DAY(B$10)=1,$AL$69,A70)+B69</f>
        <v>0</v>
      </c>
      <c r="C70" s="273">
        <f t="shared" ca="1" si="19"/>
        <v>0</v>
      </c>
      <c r="D70" s="273">
        <f t="shared" ca="1" si="19"/>
        <v>0</v>
      </c>
      <c r="E70" s="273">
        <f t="shared" ca="1" si="19"/>
        <v>0</v>
      </c>
      <c r="F70" s="273">
        <f t="shared" ca="1" si="19"/>
        <v>0</v>
      </c>
      <c r="G70" s="273">
        <f t="shared" ca="1" si="19"/>
        <v>0</v>
      </c>
      <c r="H70" s="273">
        <f t="shared" ca="1" si="19"/>
        <v>0</v>
      </c>
      <c r="I70" s="273">
        <f t="shared" ca="1" si="19"/>
        <v>0</v>
      </c>
      <c r="J70" s="273">
        <f t="shared" ca="1" si="19"/>
        <v>0</v>
      </c>
      <c r="K70" s="273">
        <f t="shared" ca="1" si="19"/>
        <v>0</v>
      </c>
      <c r="L70" s="273">
        <f t="shared" ca="1" si="19"/>
        <v>0</v>
      </c>
      <c r="M70" s="273">
        <f t="shared" ca="1" si="19"/>
        <v>0</v>
      </c>
      <c r="N70" s="273">
        <f t="shared" ca="1" si="19"/>
        <v>0</v>
      </c>
      <c r="O70" s="273">
        <f t="shared" ca="1" si="19"/>
        <v>0</v>
      </c>
      <c r="P70" s="273">
        <f t="shared" ca="1" si="19"/>
        <v>0</v>
      </c>
      <c r="Q70" s="273">
        <f t="shared" ca="1" si="19"/>
        <v>0</v>
      </c>
      <c r="R70" s="273">
        <f t="shared" ca="1" si="19"/>
        <v>0</v>
      </c>
      <c r="S70" s="273">
        <f t="shared" ca="1" si="19"/>
        <v>0</v>
      </c>
      <c r="T70" s="273">
        <f t="shared" ca="1" si="19"/>
        <v>0</v>
      </c>
      <c r="U70" s="273">
        <f t="shared" ca="1" si="19"/>
        <v>0</v>
      </c>
      <c r="V70" s="273">
        <f t="shared" ca="1" si="19"/>
        <v>0</v>
      </c>
      <c r="W70" s="273">
        <f t="shared" ca="1" si="19"/>
        <v>0</v>
      </c>
      <c r="X70" s="273">
        <f t="shared" ca="1" si="19"/>
        <v>0</v>
      </c>
      <c r="Y70" s="273">
        <f t="shared" ca="1" si="19"/>
        <v>0</v>
      </c>
      <c r="Z70" s="273">
        <f t="shared" ca="1" si="19"/>
        <v>0</v>
      </c>
      <c r="AA70" s="273">
        <f t="shared" ca="1" si="19"/>
        <v>0</v>
      </c>
      <c r="AB70" s="273">
        <f t="shared" ca="1" si="19"/>
        <v>0</v>
      </c>
      <c r="AC70" s="273">
        <f t="shared" ca="1" si="19"/>
        <v>0</v>
      </c>
      <c r="AD70" s="273">
        <f t="shared" ca="1" si="19"/>
        <v>0</v>
      </c>
      <c r="AE70" s="273">
        <f t="shared" ca="1" si="19"/>
        <v>0</v>
      </c>
      <c r="AF70" s="273">
        <f t="shared" ca="1" si="19"/>
        <v>0</v>
      </c>
      <c r="AG70" s="205" t="str">
        <f t="shared" ref="AG70:AG82" si="20">A70</f>
        <v>Balance counter night shift</v>
      </c>
      <c r="AH70" s="228"/>
      <c r="AI70" s="224"/>
      <c r="AJ70" s="278"/>
      <c r="AK70" s="262"/>
      <c r="AL70" s="262"/>
      <c r="AM70" s="209"/>
      <c r="AN70" s="279"/>
      <c r="AO70" s="208"/>
      <c r="AP70" s="208"/>
      <c r="AQ70" s="119"/>
    </row>
    <row r="71" spans="1:43" s="38" customFormat="1" ht="15" hidden="1" customHeight="1" outlineLevel="1" x14ac:dyDescent="0.2">
      <c r="A71" s="212" t="s">
        <v>222</v>
      </c>
      <c r="B71" s="40"/>
      <c r="C71" s="40"/>
      <c r="D71" s="40"/>
      <c r="E71" s="27"/>
      <c r="F71" s="40"/>
      <c r="G71" s="40"/>
      <c r="H71" s="40"/>
      <c r="I71" s="40"/>
      <c r="J71" s="27"/>
      <c r="K71" s="40"/>
      <c r="L71" s="27"/>
      <c r="M71" s="40"/>
      <c r="N71" s="40"/>
      <c r="O71" s="40"/>
      <c r="P71" s="40"/>
      <c r="Q71" s="27"/>
      <c r="R71" s="40"/>
      <c r="S71" s="27"/>
      <c r="T71" s="27"/>
      <c r="U71" s="40"/>
      <c r="V71" s="40"/>
      <c r="W71" s="40"/>
      <c r="X71" s="27"/>
      <c r="Y71" s="40"/>
      <c r="Z71" s="39"/>
      <c r="AA71" s="40"/>
      <c r="AB71" s="40"/>
      <c r="AC71" s="40"/>
      <c r="AD71" s="40"/>
      <c r="AE71" s="27"/>
      <c r="AF71" s="40"/>
      <c r="AG71" s="205" t="str">
        <f t="shared" si="20"/>
        <v>Compensation TS night shift</v>
      </c>
      <c r="AH71" s="218"/>
      <c r="AI71" s="238">
        <f t="shared" ref="AI71" si="21">SUM(B71:AF71)</f>
        <v>0</v>
      </c>
      <c r="AJ71" s="261"/>
      <c r="AK71" s="262"/>
      <c r="AL71" s="245">
        <f ca="1">IF(EB.Anwendung&lt;&gt;"",IF(MONTH(Monat.Tag1)=1,0,IF(MONTH(Monat.Tag1)=2,January!Monat.KompZZSNDUeVM,IF(MONTH(Monat.Tag1)=3,February!Monat.KompZZSNDUeVM,IF(MONTH(Monat.Tag1)=4,March!Monat.KompZZSNDUeVM,IF(MONTH(Monat.Tag1)=5,April!Monat.KompZZSNDUeVM,IF(MONTH(Monat.Tag1)=6,May!Monat.KompZZSNDUeVM,IF(MONTH(Monat.Tag1)=7,June!Monat.KompZZSNDUeVM,IF(MONTH(Monat.Tag1)=8,July!Monat.KompZZSNDUeVM,IF(MONTH(Monat.Tag1)=9,August!Monat.KompZZSNDUeVM,IF(MONTH(Monat.Tag1)=10,September!Monat.KompZZSNDUeVM,IF(MONTH(Monat.Tag1)=11,October!Monat.KompZZSNDUeVM,IF(MONTH(Monat.Tag1)=12,November!Monat.KompZZSNDUeVM,"")))))))))))),"")</f>
        <v>0</v>
      </c>
      <c r="AM71" s="209"/>
      <c r="AN71" s="246">
        <f ca="1">AI71+AL71</f>
        <v>0</v>
      </c>
      <c r="AO71" s="246">
        <f ca="1">SUM(OFFSET(Jahr.KompZZSND,-12,0,MONTH(Monat.Tag1),1))</f>
        <v>0</v>
      </c>
      <c r="AP71" s="246">
        <f ca="1">Jahr.KompZZSND</f>
        <v>0</v>
      </c>
      <c r="AQ71" s="119"/>
    </row>
    <row r="72" spans="1:43" s="38" customFormat="1" ht="15" hidden="1" customHeight="1" outlineLevel="1" x14ac:dyDescent="0.2">
      <c r="A72" s="212" t="s">
        <v>223</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205" t="str">
        <f t="shared" si="20"/>
        <v>Start pl. night shift Yes/No</v>
      </c>
      <c r="AH72" s="218"/>
      <c r="AI72" s="224"/>
      <c r="AJ72" s="229">
        <f ca="1">IFERROR(SUMPRODUCT((B72:AF72=INDEX(T.JaNein.Bereich,1))*(B72:AF72&lt;&gt;"")),0)</f>
        <v>0</v>
      </c>
      <c r="AK72" s="262"/>
      <c r="AL72" s="229">
        <f ca="1">AL69</f>
        <v>0</v>
      </c>
      <c r="AM72" s="209"/>
      <c r="AN72" s="277">
        <f ca="1">AN69</f>
        <v>0</v>
      </c>
      <c r="AO72" s="209"/>
      <c r="AP72" s="209"/>
      <c r="AQ72" s="119"/>
    </row>
    <row r="73" spans="1:43" s="38" customFormat="1" ht="15" customHeight="1" outlineLevel="1" x14ac:dyDescent="0.2">
      <c r="A73" s="212" t="s">
        <v>88</v>
      </c>
      <c r="B73" s="280">
        <f t="shared" ref="B73:AF73" ca="1" si="22">IF(B$12=0,0,IF(OR(T.50_Vetsuisse,T.ServiceCenterIrchel),ROUND((B14-B13+MAX(0,T.Nachtab-MAX(T.Nachtbis,B14))-MAX(0,T.Nachtab-MAX(B13,T.Nachtbis))+(B13&gt;B14)*(1+T.Nachtbis-T.Nachtab)+B16-B15+MAX(0,T.Nachtab-MAX(T.Nachtbis,B16))-MAX(0,T.Nachtab-MAX(B15,T.Nachtbis))+(B15&gt;B16)*(1+T.Nachtbis-T.Nachtab)+B18-B17+MAX(0,T.Nachtab-MAX(T.Nachtbis,B18))-MAX(0,T.Nachtab-MAX(B17,T.Nachtbis))+(B17&gt;B18)*(1+T.Nachtbis-T.Nachtab)+B20-B19+MAX(0,T.Nachtab-MAX(T.Nachtbis,B20))-MAX(0,T.Nachtab-MAX(B19,T.Nachtbis))+(B19&gt;B20)*(1+T.Nachtbis-T.Nachtab)+B22-B21+MAX(0,T.Nachtab-MAX(T.Nachtbis,B22))-MAX(0,T.Nachtab-MAX(B21,T.Nachtbis))+(B21&gt;B22)*(1+T.Nachtbis-T.Nachtab))*1440,0)/1440,
IF(AND(WEEKDAY(B$10,2)&lt;6,B$11&lt;&gt;0),ROUND((B36-B35+MAX(0,T.Nachtab-MAX(T.Nachtbis,B36))-MAX(0,T.Nachtab-MAX(B35,T.Nachtbis))+(B35&gt;B36)*(1+T.Nachtbis-T.Nachtab)+B38-B37+MAX(0,T.Nachtab-MAX(T.Nachtbis,B38))-MAX(0,T.Nachtab-MAX(B37,T.Nachtbis))+(B37&gt;B38)*(1+T.Nachtbis-T.Nachtab)+B40-B39+MAX(0,T.Nachtab-MAX(T.Nachtbis,B40))-MAX(0,T.Nachtab-MAX(B39,T.Nachtbis))+(B39&gt;B40)*(1+T.Nachtbis-T.Nachtab)+B42-B41+MAX(0,T.Nachtab-MAX(T.Nachtbis,B42))-MAX(0,T.Nachtab-MAX(B41,T.Nachtbis))+(B41&gt;B42)*(1+T.Nachtbis-T.Nachtab)+B44-B43+MAX(0,T.Nachtab-MAX(T.Nachtbis,B44))-MAX(0,T.Nachtab-MAX(B43,T.Nachtbis))+(B43&gt;B44)*(1+T.Nachtbis-T.Nachtab))*1440,0)/1440,0)))</f>
        <v>0</v>
      </c>
      <c r="C73" s="280">
        <f t="shared" ca="1" si="22"/>
        <v>0</v>
      </c>
      <c r="D73" s="280">
        <f t="shared" ca="1" si="22"/>
        <v>0</v>
      </c>
      <c r="E73" s="280">
        <f t="shared" ca="1" si="22"/>
        <v>0</v>
      </c>
      <c r="F73" s="280">
        <f t="shared" ca="1" si="22"/>
        <v>0</v>
      </c>
      <c r="G73" s="280">
        <f t="shared" ca="1" si="22"/>
        <v>0</v>
      </c>
      <c r="H73" s="280">
        <f t="shared" ca="1" si="22"/>
        <v>0</v>
      </c>
      <c r="I73" s="280">
        <f t="shared" ca="1" si="22"/>
        <v>0</v>
      </c>
      <c r="J73" s="280">
        <f t="shared" ca="1" si="22"/>
        <v>0</v>
      </c>
      <c r="K73" s="280">
        <f t="shared" ca="1" si="22"/>
        <v>0</v>
      </c>
      <c r="L73" s="280">
        <f t="shared" ca="1" si="22"/>
        <v>0</v>
      </c>
      <c r="M73" s="280">
        <f t="shared" ca="1" si="22"/>
        <v>0</v>
      </c>
      <c r="N73" s="280">
        <f t="shared" ca="1" si="22"/>
        <v>0</v>
      </c>
      <c r="O73" s="280">
        <f t="shared" ca="1" si="22"/>
        <v>0</v>
      </c>
      <c r="P73" s="280">
        <f t="shared" ca="1" si="22"/>
        <v>0</v>
      </c>
      <c r="Q73" s="280">
        <f t="shared" ca="1" si="22"/>
        <v>0</v>
      </c>
      <c r="R73" s="280">
        <f t="shared" ca="1" si="22"/>
        <v>0</v>
      </c>
      <c r="S73" s="280">
        <f t="shared" ca="1" si="22"/>
        <v>0</v>
      </c>
      <c r="T73" s="280">
        <f t="shared" ca="1" si="22"/>
        <v>0</v>
      </c>
      <c r="U73" s="280">
        <f t="shared" ca="1" si="22"/>
        <v>0</v>
      </c>
      <c r="V73" s="280">
        <f t="shared" ca="1" si="22"/>
        <v>0</v>
      </c>
      <c r="W73" s="280">
        <f t="shared" ca="1" si="22"/>
        <v>0</v>
      </c>
      <c r="X73" s="280">
        <f t="shared" ca="1" si="22"/>
        <v>0</v>
      </c>
      <c r="Y73" s="280">
        <f t="shared" ca="1" si="22"/>
        <v>0</v>
      </c>
      <c r="Z73" s="280">
        <f t="shared" ca="1" si="22"/>
        <v>0</v>
      </c>
      <c r="AA73" s="280">
        <f t="shared" ca="1" si="22"/>
        <v>0</v>
      </c>
      <c r="AB73" s="280">
        <f t="shared" ca="1" si="22"/>
        <v>0</v>
      </c>
      <c r="AC73" s="280">
        <f t="shared" ca="1" si="22"/>
        <v>0</v>
      </c>
      <c r="AD73" s="280">
        <f t="shared" ca="1" si="22"/>
        <v>0</v>
      </c>
      <c r="AE73" s="280">
        <f t="shared" ca="1" si="22"/>
        <v>0</v>
      </c>
      <c r="AF73" s="280">
        <f t="shared" ca="1" si="22"/>
        <v>0</v>
      </c>
      <c r="AG73" s="205" t="str">
        <f t="shared" si="20"/>
        <v>Night shift</v>
      </c>
      <c r="AH73" s="228"/>
      <c r="AI73" s="238">
        <f ca="1">SUM(B73:AF73)</f>
        <v>0</v>
      </c>
      <c r="AJ73" s="229">
        <f ca="1">IF(OR(T.50_Vetsuisse,T.ServiceCenterIrchel),AI69,
IFERROR(SUMPRODUCT((B77:AF77&gt;0)*(B77:AF77&lt;&gt;"")),0))</f>
        <v>0</v>
      </c>
      <c r="AK73" s="224"/>
      <c r="AL73" s="245">
        <f ca="1">IF(EB.Anwendung&lt;&gt;"",IF(MONTH(Monat.Tag1)=1,0,IF(MONTH(Monat.Tag1)=2,January!Monat.NDUeVM,IF(MONTH(Monat.Tag1)=3,February!Monat.NDUeVM,IF(MONTH(Monat.Tag1)=4,March!Monat.NDUeVM,IF(MONTH(Monat.Tag1)=5,April!Monat.NDUeVM,IF(MONTH(Monat.Tag1)=6,May!Monat.NDUeVM,IF(MONTH(Monat.Tag1)=7,June!Monat.NDUeVM,IF(MONTH(Monat.Tag1)=8,July!Monat.NDUeVM,IF(MONTH(Monat.Tag1)=9,August!Monat.NDUeVM,IF(MONTH(Monat.Tag1)=10,September!Monat.NDUeVM,IF(MONTH(Monat.Tag1)=11,October!Monat.NDUeVM,IF(MONTH(Monat.Tag1)=12,November!Monat.NDUeVM,"")))))))))))),"")</f>
        <v>0</v>
      </c>
      <c r="AM73" s="209"/>
      <c r="AN73" s="246">
        <f ca="1">AI73+AL73</f>
        <v>0</v>
      </c>
      <c r="AO73" s="208"/>
      <c r="AP73" s="208"/>
      <c r="AQ73" s="119"/>
    </row>
    <row r="74" spans="1:43" s="38" customFormat="1" ht="3.75" hidden="1" customHeight="1" x14ac:dyDescent="0.2">
      <c r="A74" s="220"/>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213"/>
      <c r="AG74" s="205"/>
      <c r="AH74" s="188"/>
      <c r="AI74" s="213"/>
      <c r="AJ74" s="214"/>
      <c r="AK74" s="209"/>
      <c r="AL74" s="209"/>
      <c r="AM74" s="209"/>
      <c r="AN74" s="208"/>
      <c r="AO74" s="209"/>
      <c r="AP74" s="209"/>
      <c r="AQ74" s="119"/>
    </row>
    <row r="75" spans="1:43" s="38" customFormat="1" ht="16.5" hidden="1" customHeight="1" outlineLevel="1" x14ac:dyDescent="0.2">
      <c r="A75" s="215" t="s">
        <v>252</v>
      </c>
      <c r="B75" s="216">
        <f t="shared" ref="B75:AF75" ca="1" si="23">IF(B73&gt;0,ROUND((B73-
IF(B13&lt;T.Nachtbis,MIN(T.Nachtbis-B13,B14-B13)+IF(B15&lt;T.Nachtbis,MIN(T.Nachtbis-B15,B16-B15)+IF(B17&lt;T.Nachtbis,MIN(T.Nachtbis-B17,B18-B17)+IF(B19&lt;T.Nachtbis,MIN(T.Nachtbis-B19,B20-B19)+IF(B21&lt;T.Nachtbis,MIN(T.Nachtbis-B21,B22-B21),0),0),0),0),0))*1440,0)/1440,0)</f>
        <v>0</v>
      </c>
      <c r="C75" s="216">
        <f t="shared" ca="1" si="23"/>
        <v>0</v>
      </c>
      <c r="D75" s="216">
        <f t="shared" ca="1" si="23"/>
        <v>0</v>
      </c>
      <c r="E75" s="216">
        <f t="shared" ca="1" si="23"/>
        <v>0</v>
      </c>
      <c r="F75" s="216">
        <f t="shared" ca="1" si="23"/>
        <v>0</v>
      </c>
      <c r="G75" s="216">
        <f t="shared" ca="1" si="23"/>
        <v>0</v>
      </c>
      <c r="H75" s="216">
        <f t="shared" ca="1" si="23"/>
        <v>0</v>
      </c>
      <c r="I75" s="216">
        <f t="shared" ca="1" si="23"/>
        <v>0</v>
      </c>
      <c r="J75" s="216">
        <f t="shared" ca="1" si="23"/>
        <v>0</v>
      </c>
      <c r="K75" s="216">
        <f t="shared" ca="1" si="23"/>
        <v>0</v>
      </c>
      <c r="L75" s="216">
        <f t="shared" ca="1" si="23"/>
        <v>0</v>
      </c>
      <c r="M75" s="216">
        <f t="shared" ca="1" si="23"/>
        <v>0</v>
      </c>
      <c r="N75" s="216">
        <f t="shared" ca="1" si="23"/>
        <v>0</v>
      </c>
      <c r="O75" s="216">
        <f t="shared" ca="1" si="23"/>
        <v>0</v>
      </c>
      <c r="P75" s="216">
        <f t="shared" ca="1" si="23"/>
        <v>0</v>
      </c>
      <c r="Q75" s="216">
        <f t="shared" ca="1" si="23"/>
        <v>0</v>
      </c>
      <c r="R75" s="216">
        <f t="shared" ca="1" si="23"/>
        <v>0</v>
      </c>
      <c r="S75" s="216">
        <f t="shared" ca="1" si="23"/>
        <v>0</v>
      </c>
      <c r="T75" s="216">
        <f t="shared" ca="1" si="23"/>
        <v>0</v>
      </c>
      <c r="U75" s="216">
        <f t="shared" ca="1" si="23"/>
        <v>0</v>
      </c>
      <c r="V75" s="216">
        <f t="shared" ca="1" si="23"/>
        <v>0</v>
      </c>
      <c r="W75" s="216">
        <f t="shared" ca="1" si="23"/>
        <v>0</v>
      </c>
      <c r="X75" s="216">
        <f t="shared" ca="1" si="23"/>
        <v>0</v>
      </c>
      <c r="Y75" s="216">
        <f t="shared" ca="1" si="23"/>
        <v>0</v>
      </c>
      <c r="Z75" s="216">
        <f t="shared" ca="1" si="23"/>
        <v>0</v>
      </c>
      <c r="AA75" s="216">
        <f t="shared" ca="1" si="23"/>
        <v>0</v>
      </c>
      <c r="AB75" s="216">
        <f t="shared" ca="1" si="23"/>
        <v>0</v>
      </c>
      <c r="AC75" s="216">
        <f t="shared" ca="1" si="23"/>
        <v>0</v>
      </c>
      <c r="AD75" s="216">
        <f t="shared" ca="1" si="23"/>
        <v>0</v>
      </c>
      <c r="AE75" s="216">
        <f t="shared" ca="1" si="23"/>
        <v>0</v>
      </c>
      <c r="AF75" s="216">
        <f t="shared" ca="1" si="23"/>
        <v>0</v>
      </c>
      <c r="AG75" s="217" t="str">
        <f t="shared" ref="AG75:AG77" si="24">A75</f>
        <v>Total NS hours today</v>
      </c>
      <c r="AH75" s="188"/>
      <c r="AI75" s="213"/>
      <c r="AJ75" s="214"/>
      <c r="AK75" s="209"/>
      <c r="AL75" s="209"/>
      <c r="AM75" s="209"/>
      <c r="AN75" s="208"/>
      <c r="AO75" s="209"/>
      <c r="AP75" s="209"/>
      <c r="AQ75" s="119"/>
    </row>
    <row r="76" spans="1:43" s="38" customFormat="1" ht="16.5" hidden="1" customHeight="1" outlineLevel="1" x14ac:dyDescent="0.2">
      <c r="A76" s="215" t="s">
        <v>253</v>
      </c>
      <c r="B76" s="225">
        <f t="shared" ref="B76:AF76" ca="1" si="25">B73-B75</f>
        <v>0</v>
      </c>
      <c r="C76" s="225">
        <f t="shared" ca="1" si="25"/>
        <v>0</v>
      </c>
      <c r="D76" s="225">
        <f t="shared" ca="1" si="25"/>
        <v>0</v>
      </c>
      <c r="E76" s="225">
        <f t="shared" ca="1" si="25"/>
        <v>0</v>
      </c>
      <c r="F76" s="225">
        <f t="shared" ca="1" si="25"/>
        <v>0</v>
      </c>
      <c r="G76" s="225">
        <f t="shared" ca="1" si="25"/>
        <v>0</v>
      </c>
      <c r="H76" s="225">
        <f t="shared" ca="1" si="25"/>
        <v>0</v>
      </c>
      <c r="I76" s="225">
        <f t="shared" ca="1" si="25"/>
        <v>0</v>
      </c>
      <c r="J76" s="225">
        <f t="shared" ca="1" si="25"/>
        <v>0</v>
      </c>
      <c r="K76" s="225">
        <f t="shared" ca="1" si="25"/>
        <v>0</v>
      </c>
      <c r="L76" s="225">
        <f t="shared" ca="1" si="25"/>
        <v>0</v>
      </c>
      <c r="M76" s="225">
        <f t="shared" ca="1" si="25"/>
        <v>0</v>
      </c>
      <c r="N76" s="225">
        <f t="shared" ca="1" si="25"/>
        <v>0</v>
      </c>
      <c r="O76" s="225">
        <f t="shared" ca="1" si="25"/>
        <v>0</v>
      </c>
      <c r="P76" s="225">
        <f t="shared" ca="1" si="25"/>
        <v>0</v>
      </c>
      <c r="Q76" s="225">
        <f t="shared" ca="1" si="25"/>
        <v>0</v>
      </c>
      <c r="R76" s="225">
        <f t="shared" ca="1" si="25"/>
        <v>0</v>
      </c>
      <c r="S76" s="225">
        <f t="shared" ca="1" si="25"/>
        <v>0</v>
      </c>
      <c r="T76" s="225">
        <f t="shared" ca="1" si="25"/>
        <v>0</v>
      </c>
      <c r="U76" s="225">
        <f t="shared" ca="1" si="25"/>
        <v>0</v>
      </c>
      <c r="V76" s="225">
        <f t="shared" ca="1" si="25"/>
        <v>0</v>
      </c>
      <c r="W76" s="225">
        <f t="shared" ca="1" si="25"/>
        <v>0</v>
      </c>
      <c r="X76" s="225">
        <f t="shared" ca="1" si="25"/>
        <v>0</v>
      </c>
      <c r="Y76" s="225">
        <f t="shared" ca="1" si="25"/>
        <v>0</v>
      </c>
      <c r="Z76" s="225">
        <f t="shared" ca="1" si="25"/>
        <v>0</v>
      </c>
      <c r="AA76" s="225">
        <f t="shared" ca="1" si="25"/>
        <v>0</v>
      </c>
      <c r="AB76" s="225">
        <f t="shared" ca="1" si="25"/>
        <v>0</v>
      </c>
      <c r="AC76" s="225">
        <f t="shared" ca="1" si="25"/>
        <v>0</v>
      </c>
      <c r="AD76" s="225">
        <f t="shared" ca="1" si="25"/>
        <v>0</v>
      </c>
      <c r="AE76" s="225">
        <f t="shared" ca="1" si="25"/>
        <v>0</v>
      </c>
      <c r="AF76" s="225">
        <f t="shared" ca="1" si="25"/>
        <v>0</v>
      </c>
      <c r="AG76" s="217" t="str">
        <f t="shared" si="24"/>
        <v>Total NS hours yesterday</v>
      </c>
      <c r="AH76" s="188"/>
      <c r="AI76" s="213"/>
      <c r="AJ76" s="214"/>
      <c r="AK76" s="209"/>
      <c r="AL76" s="209"/>
      <c r="AM76" s="230">
        <f ca="1">IF(EB.Anwendung&lt;&gt;"",IF(MONTH(Monat.Tag1)=12,0,IF(MONTH(Monat.Tag1)=1,February!Monat.NDgesternTag1,IF(MONTH(Monat.Tag1)=2,March!Monat.NDgesternTag1,IF(MONTH(Monat.Tag1)=3,April!Monat.NDgesternTag1,IF(MONTH(Monat.Tag1)=4,May!Monat.NDgesternTag1,IF(MONTH(Monat.Tag1)=5,June!Monat.NDgesternTag1,IF(MONTH(Monat.Tag1)=6,July!Monat.NDgesternTag1,IF(MONTH(Monat.Tag1)=7,August!Monat.NDgesternTag1,IF(MONTH(Monat.Tag1)=8,September!Monat.NDgesternTag1,IF(MONTH(Monat.Tag1)=9,October!Monat.NDgesternTag1,IF(MONTH(Monat.Tag1)=10,November!Monat.NDgesternTag1,IF(MONTH(Monat.Tag1)=11,December!Monat.NDgesternTag1,"")))))))))))),"")</f>
        <v>0</v>
      </c>
      <c r="AN76" s="208"/>
      <c r="AO76" s="209"/>
      <c r="AP76" s="209"/>
      <c r="AQ76" s="119"/>
    </row>
    <row r="77" spans="1:43" s="38" customFormat="1" ht="16.5" hidden="1" customHeight="1" outlineLevel="1" x14ac:dyDescent="0.2">
      <c r="A77" s="215" t="s">
        <v>254</v>
      </c>
      <c r="B77" s="216">
        <f t="shared" ref="B77:AF77" ca="1" si="26">B75+IF(B$10=EOMONTH(B$10,0),$AM76,C76)</f>
        <v>0</v>
      </c>
      <c r="C77" s="216">
        <f t="shared" ca="1" si="26"/>
        <v>0</v>
      </c>
      <c r="D77" s="216">
        <f t="shared" ca="1" si="26"/>
        <v>0</v>
      </c>
      <c r="E77" s="216">
        <f t="shared" ca="1" si="26"/>
        <v>0</v>
      </c>
      <c r="F77" s="216">
        <f t="shared" ca="1" si="26"/>
        <v>0</v>
      </c>
      <c r="G77" s="216">
        <f t="shared" ca="1" si="26"/>
        <v>0</v>
      </c>
      <c r="H77" s="216">
        <f t="shared" ca="1" si="26"/>
        <v>0</v>
      </c>
      <c r="I77" s="216">
        <f t="shared" ca="1" si="26"/>
        <v>0</v>
      </c>
      <c r="J77" s="216">
        <f t="shared" ca="1" si="26"/>
        <v>0</v>
      </c>
      <c r="K77" s="216">
        <f t="shared" ca="1" si="26"/>
        <v>0</v>
      </c>
      <c r="L77" s="216">
        <f t="shared" ca="1" si="26"/>
        <v>0</v>
      </c>
      <c r="M77" s="216">
        <f t="shared" ca="1" si="26"/>
        <v>0</v>
      </c>
      <c r="N77" s="216">
        <f t="shared" ca="1" si="26"/>
        <v>0</v>
      </c>
      <c r="O77" s="216">
        <f t="shared" ca="1" si="26"/>
        <v>0</v>
      </c>
      <c r="P77" s="216">
        <f t="shared" ca="1" si="26"/>
        <v>0</v>
      </c>
      <c r="Q77" s="216">
        <f t="shared" ca="1" si="26"/>
        <v>0</v>
      </c>
      <c r="R77" s="216">
        <f t="shared" ca="1" si="26"/>
        <v>0</v>
      </c>
      <c r="S77" s="216">
        <f t="shared" ca="1" si="26"/>
        <v>0</v>
      </c>
      <c r="T77" s="216">
        <f t="shared" ca="1" si="26"/>
        <v>0</v>
      </c>
      <c r="U77" s="216">
        <f t="shared" ca="1" si="26"/>
        <v>0</v>
      </c>
      <c r="V77" s="216">
        <f t="shared" ca="1" si="26"/>
        <v>0</v>
      </c>
      <c r="W77" s="216">
        <f t="shared" ca="1" si="26"/>
        <v>0</v>
      </c>
      <c r="X77" s="216">
        <f t="shared" ca="1" si="26"/>
        <v>0</v>
      </c>
      <c r="Y77" s="216">
        <f t="shared" ca="1" si="26"/>
        <v>0</v>
      </c>
      <c r="Z77" s="216">
        <f t="shared" ca="1" si="26"/>
        <v>0</v>
      </c>
      <c r="AA77" s="216">
        <f t="shared" ca="1" si="26"/>
        <v>0</v>
      </c>
      <c r="AB77" s="216">
        <f t="shared" ca="1" si="26"/>
        <v>0</v>
      </c>
      <c r="AC77" s="216">
        <f t="shared" ca="1" si="26"/>
        <v>0</v>
      </c>
      <c r="AD77" s="216">
        <f t="shared" ca="1" si="26"/>
        <v>0</v>
      </c>
      <c r="AE77" s="216">
        <f t="shared" ca="1" si="26"/>
        <v>0</v>
      </c>
      <c r="AF77" s="216">
        <f t="shared" ca="1" si="26"/>
        <v>0</v>
      </c>
      <c r="AG77" s="217" t="str">
        <f t="shared" si="24"/>
        <v>Total NS hours</v>
      </c>
      <c r="AH77" s="218"/>
      <c r="AI77" s="219">
        <f ca="1">SUM(B77:AF77)</f>
        <v>0</v>
      </c>
      <c r="AJ77" s="214"/>
      <c r="AK77" s="209"/>
      <c r="AL77" s="209"/>
      <c r="AM77" s="209"/>
      <c r="AN77" s="208"/>
      <c r="AO77" s="209"/>
      <c r="AP77" s="209"/>
      <c r="AQ77" s="119"/>
    </row>
    <row r="78" spans="1:43" s="38" customFormat="1" ht="3.75" hidden="1" customHeight="1" collapsed="1" x14ac:dyDescent="0.2">
      <c r="A78" s="220"/>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2"/>
      <c r="AG78" s="205"/>
      <c r="AH78" s="233"/>
      <c r="AI78" s="222"/>
      <c r="AJ78" s="214"/>
      <c r="AK78" s="209"/>
      <c r="AL78" s="209"/>
      <c r="AM78" s="209"/>
      <c r="AN78" s="208"/>
      <c r="AO78" s="209"/>
      <c r="AP78" s="209"/>
      <c r="AQ78" s="119"/>
    </row>
    <row r="79" spans="1:43" s="38" customFormat="1" ht="15" customHeight="1" outlineLevel="1" x14ac:dyDescent="0.2">
      <c r="A79" s="212" t="s">
        <v>200</v>
      </c>
      <c r="B79" s="280">
        <f t="shared" ref="B79:AF79" ca="1" si="27">IF(AND(T.50_Vetsuisse,B70&gt;24),ROUND(B73*T.50_VetsuisseZZSND*1440,0)/1440,
IF(AND(T.ServiceCenterIrchel,B69&gt;0,B77&gt;=ROUND(1/24*8*1440,0)/1440),ROUND(B77*T.ServiceCenterIrchelZZSND*1440,0)/1440,))</f>
        <v>0</v>
      </c>
      <c r="C79" s="280">
        <f t="shared" ca="1" si="27"/>
        <v>0</v>
      </c>
      <c r="D79" s="280">
        <f t="shared" ca="1" si="27"/>
        <v>0</v>
      </c>
      <c r="E79" s="280">
        <f t="shared" ca="1" si="27"/>
        <v>0</v>
      </c>
      <c r="F79" s="280">
        <f t="shared" ca="1" si="27"/>
        <v>0</v>
      </c>
      <c r="G79" s="280">
        <f t="shared" ca="1" si="27"/>
        <v>0</v>
      </c>
      <c r="H79" s="280">
        <f t="shared" ca="1" si="27"/>
        <v>0</v>
      </c>
      <c r="I79" s="280">
        <f t="shared" ca="1" si="27"/>
        <v>0</v>
      </c>
      <c r="J79" s="280">
        <f t="shared" ca="1" si="27"/>
        <v>0</v>
      </c>
      <c r="K79" s="280">
        <f t="shared" ca="1" si="27"/>
        <v>0</v>
      </c>
      <c r="L79" s="280">
        <f t="shared" ca="1" si="27"/>
        <v>0</v>
      </c>
      <c r="M79" s="280">
        <f t="shared" ca="1" si="27"/>
        <v>0</v>
      </c>
      <c r="N79" s="280">
        <f t="shared" ca="1" si="27"/>
        <v>0</v>
      </c>
      <c r="O79" s="280">
        <f t="shared" ca="1" si="27"/>
        <v>0</v>
      </c>
      <c r="P79" s="280">
        <f t="shared" ca="1" si="27"/>
        <v>0</v>
      </c>
      <c r="Q79" s="280">
        <f t="shared" ca="1" si="27"/>
        <v>0</v>
      </c>
      <c r="R79" s="280">
        <f t="shared" ca="1" si="27"/>
        <v>0</v>
      </c>
      <c r="S79" s="280">
        <f t="shared" ca="1" si="27"/>
        <v>0</v>
      </c>
      <c r="T79" s="280">
        <f t="shared" ca="1" si="27"/>
        <v>0</v>
      </c>
      <c r="U79" s="280">
        <f t="shared" ca="1" si="27"/>
        <v>0</v>
      </c>
      <c r="V79" s="280">
        <f t="shared" ca="1" si="27"/>
        <v>0</v>
      </c>
      <c r="W79" s="280">
        <f t="shared" ca="1" si="27"/>
        <v>0</v>
      </c>
      <c r="X79" s="280">
        <f t="shared" ca="1" si="27"/>
        <v>0</v>
      </c>
      <c r="Y79" s="280">
        <f t="shared" ca="1" si="27"/>
        <v>0</v>
      </c>
      <c r="Z79" s="280">
        <f t="shared" ca="1" si="27"/>
        <v>0</v>
      </c>
      <c r="AA79" s="280">
        <f t="shared" ca="1" si="27"/>
        <v>0</v>
      </c>
      <c r="AB79" s="280">
        <f t="shared" ca="1" si="27"/>
        <v>0</v>
      </c>
      <c r="AC79" s="280">
        <f t="shared" ca="1" si="27"/>
        <v>0</v>
      </c>
      <c r="AD79" s="280">
        <f t="shared" ca="1" si="27"/>
        <v>0</v>
      </c>
      <c r="AE79" s="280">
        <f t="shared" ca="1" si="27"/>
        <v>0</v>
      </c>
      <c r="AF79" s="280">
        <f t="shared" ca="1" si="27"/>
        <v>0</v>
      </c>
      <c r="AG79" s="205" t="str">
        <f t="shared" si="20"/>
        <v>Time supplement night shift</v>
      </c>
      <c r="AH79" s="274"/>
      <c r="AI79" s="238">
        <f t="shared" ref="AI79:AI80" ca="1" si="28">SUM(B79:AF79)</f>
        <v>0</v>
      </c>
      <c r="AJ79" s="261"/>
      <c r="AK79" s="224"/>
      <c r="AL79" s="245">
        <f ca="1">IF(EB.Anwendung&lt;&gt;"",IF(MONTH(Monat.Tag1)=1,EB.ZZNd,IF(MONTH(Monat.Tag1)=2,January!Monat.ZZNdUe,IF(MONTH(Monat.Tag1)=3,February!Monat.ZZNdUe,IF(MONTH(Monat.Tag1)=4,March!Monat.ZZNdUe,IF(MONTH(Monat.Tag1)=5,April!Monat.ZZNdUe,IF(MONTH(Monat.Tag1)=6,May!Monat.ZZNdUe,IF(MONTH(Monat.Tag1)=7,June!Monat.ZZNdUe,IF(MONTH(Monat.Tag1)=8,July!Monat.ZZNdUe,IF(MONTH(Monat.Tag1)=9,August!Monat.ZZNdUe,IF(MONTH(Monat.Tag1)=10,September!Monat.ZZNdUe,IF(MONTH(Monat.Tag1)=11,October!Monat.ZZNdUe,IF(MONTH(Monat.Tag1)=12,November!Monat.ZZNdUe,"")))))))))))),"")</f>
        <v>0</v>
      </c>
      <c r="AM79" s="209"/>
      <c r="AN79" s="246">
        <f ca="1">AI79+AL79-AI71</f>
        <v>0</v>
      </c>
      <c r="AO79" s="246">
        <f ca="1">OFFSET(Jahr.ZZSNDSaldo,-13+MONTH(Monat.Tag1),0,1,1)</f>
        <v>0</v>
      </c>
      <c r="AP79" s="246">
        <f ca="1">Jahr.ZZSNDSaldo</f>
        <v>0</v>
      </c>
      <c r="AQ79" s="119"/>
    </row>
    <row r="80" spans="1:43" s="38" customFormat="1" ht="15" customHeight="1" outlineLevel="1" x14ac:dyDescent="0.2">
      <c r="A80" s="212" t="s">
        <v>224</v>
      </c>
      <c r="B80" s="280" t="str">
        <f t="shared" ref="B80:AF80" si="29">IF(T.50_Vetsuisse,IF(OR(B$12=0,B$11=0,WEEKDAY(B$10,2)&gt;5),0,ROUND((MAX(0,T.Abendbis-MAX(B13,T.Abendab))-MAX(0,T.Abendbis-MAX(T.Abendab,B14))+(B13&gt;B14)*(1+T.Abendab-T.Abendbis)+MAX(0,T.Abendbis-MAX(B15,T.Abendab))-MAX(0,T.Abendbis-MAX(T.Abendab,B16))+(B15&gt;B16)*(1+T.Abendab-T.Abendbis)+MAX(0,T.Abendbis-MAX(B17,T.Abendab))-MAX(0,T.Abendbis-MAX(T.Abendab,B18))+(B17&gt;B18)*(1+T.Abendab-T.Abendbis)+MAX(0,T.Abendbis-MAX(B19,T.Abendab))-MAX(0,T.Abendbis-MAX(T.Abendab,B20))+(B19&gt;B20)*(1+T.Abendab-T.Abendbis)+MAX(0,T.Abendbis-MAX(B21,T.Abendab))-MAX(0,T.Abendbis-MAX(T.Abendab,B22))+(B21&gt;B22)*(1+T.Abendab-T.Abendbis))*1440,0)/1440),"")</f>
        <v/>
      </c>
      <c r="C80" s="280" t="str">
        <f t="shared" si="29"/>
        <v/>
      </c>
      <c r="D80" s="280" t="str">
        <f t="shared" si="29"/>
        <v/>
      </c>
      <c r="E80" s="280" t="str">
        <f t="shared" si="29"/>
        <v/>
      </c>
      <c r="F80" s="280" t="str">
        <f t="shared" si="29"/>
        <v/>
      </c>
      <c r="G80" s="280" t="str">
        <f t="shared" si="29"/>
        <v/>
      </c>
      <c r="H80" s="280" t="str">
        <f t="shared" si="29"/>
        <v/>
      </c>
      <c r="I80" s="280" t="str">
        <f t="shared" si="29"/>
        <v/>
      </c>
      <c r="J80" s="280" t="str">
        <f t="shared" si="29"/>
        <v/>
      </c>
      <c r="K80" s="280" t="str">
        <f t="shared" si="29"/>
        <v/>
      </c>
      <c r="L80" s="280" t="str">
        <f t="shared" si="29"/>
        <v/>
      </c>
      <c r="M80" s="280" t="str">
        <f t="shared" si="29"/>
        <v/>
      </c>
      <c r="N80" s="280" t="str">
        <f t="shared" si="29"/>
        <v/>
      </c>
      <c r="O80" s="280" t="str">
        <f t="shared" si="29"/>
        <v/>
      </c>
      <c r="P80" s="280" t="str">
        <f t="shared" si="29"/>
        <v/>
      </c>
      <c r="Q80" s="280" t="str">
        <f t="shared" si="29"/>
        <v/>
      </c>
      <c r="R80" s="280" t="str">
        <f t="shared" si="29"/>
        <v/>
      </c>
      <c r="S80" s="280" t="str">
        <f t="shared" si="29"/>
        <v/>
      </c>
      <c r="T80" s="280" t="str">
        <f t="shared" si="29"/>
        <v/>
      </c>
      <c r="U80" s="280" t="str">
        <f t="shared" si="29"/>
        <v/>
      </c>
      <c r="V80" s="280" t="str">
        <f t="shared" si="29"/>
        <v/>
      </c>
      <c r="W80" s="280" t="str">
        <f t="shared" si="29"/>
        <v/>
      </c>
      <c r="X80" s="280" t="str">
        <f t="shared" si="29"/>
        <v/>
      </c>
      <c r="Y80" s="280" t="str">
        <f t="shared" si="29"/>
        <v/>
      </c>
      <c r="Z80" s="280" t="str">
        <f t="shared" si="29"/>
        <v/>
      </c>
      <c r="AA80" s="280" t="str">
        <f t="shared" si="29"/>
        <v/>
      </c>
      <c r="AB80" s="280" t="str">
        <f t="shared" si="29"/>
        <v/>
      </c>
      <c r="AC80" s="280" t="str">
        <f t="shared" si="29"/>
        <v/>
      </c>
      <c r="AD80" s="280" t="str">
        <f t="shared" si="29"/>
        <v/>
      </c>
      <c r="AE80" s="280" t="str">
        <f t="shared" si="29"/>
        <v/>
      </c>
      <c r="AF80" s="280" t="str">
        <f t="shared" si="29"/>
        <v/>
      </c>
      <c r="AG80" s="205" t="str">
        <f t="shared" si="20"/>
        <v>Evening work</v>
      </c>
      <c r="AH80" s="274"/>
      <c r="AI80" s="238">
        <f t="shared" si="28"/>
        <v>0</v>
      </c>
      <c r="AJ80" s="261"/>
      <c r="AK80" s="224"/>
      <c r="AL80" s="245">
        <f ca="1">IF(EB.Anwendung&lt;&gt;"",IF(MONTH(Monat.Tag1)=1,0,IF(MONTH(Monat.Tag1)=2,January!Monat.AAUeVM,IF(MONTH(Monat.Tag1)=3,February!Monat.AAUeVM,IF(MONTH(Monat.Tag1)=4,March!Monat.AAUeVM,IF(MONTH(Monat.Tag1)=5,April!Monat.AAUeVM,IF(MONTH(Monat.Tag1)=6,May!Monat.AAUeVM,IF(MONTH(Monat.Tag1)=7,June!Monat.AAUeVM,IF(MONTH(Monat.Tag1)=8,July!Monat.AAUeVM,IF(MONTH(Monat.Tag1)=9,August!Monat.AAUeVM,IF(MONTH(Monat.Tag1)=10,September!Monat.AAUeVM,IF(MONTH(Monat.Tag1)=11,October!Monat.AAUeVM,IF(MONTH(Monat.Tag1)=12,November!Monat.AAUeVM,"")))))))))))),"")</f>
        <v>0</v>
      </c>
      <c r="AM80" s="209"/>
      <c r="AN80" s="246">
        <f ca="1">AI80+AL80</f>
        <v>0</v>
      </c>
      <c r="AO80" s="208"/>
      <c r="AP80" s="208"/>
      <c r="AQ80" s="119"/>
    </row>
    <row r="81" spans="1:43" s="38" customFormat="1" ht="15" customHeight="1" outlineLevel="1" x14ac:dyDescent="0.2">
      <c r="A81" s="212" t="s">
        <v>89</v>
      </c>
      <c r="B81" s="280">
        <f t="shared" ref="B81:AF81" ca="1" si="30">IF(EB.Wochenarbeitszeit=50/24,"",IF(B$12=0,0,IF(OR(WEEKDAY(B$10,2)&gt;5,B$11=0),IF(NOT(B$34=INDEX(T.Pikett.Bereich,1)),1,0),IF(WEEKDAY(B$10,2)&lt;6,IF(AND(OR(B$34=INDEX(T.Pikett.Bereich,2),B$34=INDEX(T.Pikett.Bereich,3)),B$11=1),8/24,0))+IF(WEEKDAY(B$10,2)&lt;6,IF(AND(OR(B$34=INDEX(T.Pikett.Bereich,2),B$34=INDEX(T.Pikett.Bereich,3)),B$11=6/8.4),10/24,0))
+IF(WEEKDAY(B$10,2)&lt;6,IF(AND(OR(B$34=INDEX(T.Pikett.Bereich,2),B$34=INDEX(T.Pikett.Bereich,3)),B$11=0.5),0.5,0))
+IF(AND(B$34=INDEX(T.Pikett.Bereich,4),B$11=6/8.4),0.75,0)+IF(AND(B$34=INDEX(T.Pikett.Bereich,4),B$11=1),16/24,0)
+IF(AND(B$34=INDEX(T.Pikett.Bereich,4),B$11=0.5),20/24,0))))</f>
        <v>0</v>
      </c>
      <c r="C81" s="280">
        <f t="shared" ca="1" si="30"/>
        <v>0</v>
      </c>
      <c r="D81" s="280">
        <f t="shared" ca="1" si="30"/>
        <v>0</v>
      </c>
      <c r="E81" s="280">
        <f t="shared" ca="1" si="30"/>
        <v>0</v>
      </c>
      <c r="F81" s="280">
        <f t="shared" ca="1" si="30"/>
        <v>0</v>
      </c>
      <c r="G81" s="280">
        <f t="shared" ca="1" si="30"/>
        <v>0</v>
      </c>
      <c r="H81" s="280">
        <f t="shared" ca="1" si="30"/>
        <v>0</v>
      </c>
      <c r="I81" s="280">
        <f t="shared" ca="1" si="30"/>
        <v>0</v>
      </c>
      <c r="J81" s="280">
        <f t="shared" ca="1" si="30"/>
        <v>0</v>
      </c>
      <c r="K81" s="280">
        <f t="shared" ca="1" si="30"/>
        <v>0</v>
      </c>
      <c r="L81" s="280">
        <f t="shared" ca="1" si="30"/>
        <v>0</v>
      </c>
      <c r="M81" s="280">
        <f t="shared" ca="1" si="30"/>
        <v>0</v>
      </c>
      <c r="N81" s="280">
        <f t="shared" ca="1" si="30"/>
        <v>0</v>
      </c>
      <c r="O81" s="280">
        <f t="shared" ca="1" si="30"/>
        <v>0</v>
      </c>
      <c r="P81" s="280">
        <f t="shared" ca="1" si="30"/>
        <v>0</v>
      </c>
      <c r="Q81" s="280">
        <f t="shared" ca="1" si="30"/>
        <v>0</v>
      </c>
      <c r="R81" s="280">
        <f t="shared" ca="1" si="30"/>
        <v>0</v>
      </c>
      <c r="S81" s="280">
        <f t="shared" ca="1" si="30"/>
        <v>0</v>
      </c>
      <c r="T81" s="280">
        <f t="shared" ca="1" si="30"/>
        <v>0</v>
      </c>
      <c r="U81" s="280">
        <f t="shared" ca="1" si="30"/>
        <v>0</v>
      </c>
      <c r="V81" s="280">
        <f t="shared" ca="1" si="30"/>
        <v>0</v>
      </c>
      <c r="W81" s="280">
        <f t="shared" ca="1" si="30"/>
        <v>0</v>
      </c>
      <c r="X81" s="280">
        <f t="shared" ca="1" si="30"/>
        <v>0</v>
      </c>
      <c r="Y81" s="280">
        <f t="shared" ca="1" si="30"/>
        <v>0</v>
      </c>
      <c r="Z81" s="280">
        <f t="shared" ca="1" si="30"/>
        <v>0</v>
      </c>
      <c r="AA81" s="280">
        <f t="shared" ca="1" si="30"/>
        <v>0</v>
      </c>
      <c r="AB81" s="280">
        <f t="shared" ca="1" si="30"/>
        <v>0</v>
      </c>
      <c r="AC81" s="280">
        <f t="shared" ca="1" si="30"/>
        <v>0</v>
      </c>
      <c r="AD81" s="280">
        <f t="shared" ca="1" si="30"/>
        <v>0</v>
      </c>
      <c r="AE81" s="280">
        <f t="shared" ca="1" si="30"/>
        <v>0</v>
      </c>
      <c r="AF81" s="280">
        <f t="shared" ca="1" si="30"/>
        <v>0</v>
      </c>
      <c r="AG81" s="205" t="str">
        <f t="shared" si="20"/>
        <v>On-call duty</v>
      </c>
      <c r="AH81" s="274"/>
      <c r="AI81" s="238">
        <f ca="1">SUM(B81:AF81)</f>
        <v>0</v>
      </c>
      <c r="AJ81" s="261"/>
      <c r="AK81" s="224"/>
      <c r="AL81" s="245">
        <f ca="1">IF(EB.Anwendung&lt;&gt;"",IF(MONTH(Monat.Tag1)=1,0,IF(MONTH(Monat.Tag1)=2,January!Monat.BDUeVM,IF(MONTH(Monat.Tag1)=3,February!Monat.BDUeVM,IF(MONTH(Monat.Tag1)=4,March!Monat.BDUeVM,IF(MONTH(Monat.Tag1)=5,April!Monat.BDUeVM,IF(MONTH(Monat.Tag1)=6,May!Monat.BDUeVM,IF(MONTH(Monat.Tag1)=7,June!Monat.BDUeVM,IF(MONTH(Monat.Tag1)=8,July!Monat.BDUeVM,IF(MONTH(Monat.Tag1)=9,August!Monat.BDUeVM,IF(MONTH(Monat.Tag1)=10,September!Monat.BDUeVM,IF(MONTH(Monat.Tag1)=11,October!Monat.BDUeVM,IF(MONTH(Monat.Tag1)=12,November!Monat.BDUeVM,"")))))))))))),"")</f>
        <v>0</v>
      </c>
      <c r="AM81" s="209"/>
      <c r="AN81" s="246">
        <f ca="1">AI81+AL81</f>
        <v>0</v>
      </c>
      <c r="AO81" s="208"/>
      <c r="AP81" s="208"/>
      <c r="AQ81" s="119"/>
    </row>
    <row r="82" spans="1:43" s="38" customFormat="1" ht="15" customHeight="1" outlineLevel="1" x14ac:dyDescent="0.2">
      <c r="A82" s="212" t="s">
        <v>90</v>
      </c>
      <c r="B82" s="280" t="str">
        <f t="shared" ref="B82:AF82" ca="1" si="31">IF(B$12=0,"",IF(OR(WEEKDAY(B$10,2)&gt;5,B$11=0),
IF(T.50_NoVetsuisse,B45,
IF(T.50_Vetsuisse,IF(B23-B73=0,"",B23-B73),
IF(T.ServiceCenterIrchel,B23,
B60))),))</f>
        <v/>
      </c>
      <c r="C82" s="280" t="str">
        <f t="shared" ca="1" si="31"/>
        <v/>
      </c>
      <c r="D82" s="281">
        <f t="shared" ca="1" si="31"/>
        <v>0</v>
      </c>
      <c r="E82" s="280">
        <f t="shared" ca="1" si="31"/>
        <v>0</v>
      </c>
      <c r="F82" s="281">
        <f t="shared" ca="1" si="31"/>
        <v>0</v>
      </c>
      <c r="G82" s="281">
        <f t="shared" ca="1" si="31"/>
        <v>0</v>
      </c>
      <c r="H82" s="281">
        <f t="shared" ca="1" si="31"/>
        <v>0</v>
      </c>
      <c r="I82" s="281" t="str">
        <f t="shared" ca="1" si="31"/>
        <v/>
      </c>
      <c r="J82" s="280" t="str">
        <f t="shared" ca="1" si="31"/>
        <v/>
      </c>
      <c r="K82" s="281">
        <f t="shared" ca="1" si="31"/>
        <v>0</v>
      </c>
      <c r="L82" s="280">
        <f t="shared" ca="1" si="31"/>
        <v>0</v>
      </c>
      <c r="M82" s="281">
        <f t="shared" ca="1" si="31"/>
        <v>0</v>
      </c>
      <c r="N82" s="281">
        <f t="shared" ca="1" si="31"/>
        <v>0</v>
      </c>
      <c r="O82" s="281">
        <f t="shared" ca="1" si="31"/>
        <v>0</v>
      </c>
      <c r="P82" s="281" t="str">
        <f t="shared" ca="1" si="31"/>
        <v/>
      </c>
      <c r="Q82" s="280" t="str">
        <f t="shared" ca="1" si="31"/>
        <v/>
      </c>
      <c r="R82" s="281">
        <f t="shared" ca="1" si="31"/>
        <v>0</v>
      </c>
      <c r="S82" s="280">
        <f t="shared" ca="1" si="31"/>
        <v>0</v>
      </c>
      <c r="T82" s="280">
        <f t="shared" ca="1" si="31"/>
        <v>0</v>
      </c>
      <c r="U82" s="281">
        <f t="shared" ca="1" si="31"/>
        <v>0</v>
      </c>
      <c r="V82" s="281">
        <f t="shared" ca="1" si="31"/>
        <v>0</v>
      </c>
      <c r="W82" s="281" t="str">
        <f t="shared" ca="1" si="31"/>
        <v/>
      </c>
      <c r="X82" s="280" t="str">
        <f t="shared" ca="1" si="31"/>
        <v/>
      </c>
      <c r="Y82" s="281">
        <f t="shared" ca="1" si="31"/>
        <v>0</v>
      </c>
      <c r="Z82" s="282">
        <f t="shared" ca="1" si="31"/>
        <v>0</v>
      </c>
      <c r="AA82" s="281">
        <f t="shared" ca="1" si="31"/>
        <v>0</v>
      </c>
      <c r="AB82" s="281">
        <f t="shared" ca="1" si="31"/>
        <v>0</v>
      </c>
      <c r="AC82" s="281">
        <f t="shared" ca="1" si="31"/>
        <v>0</v>
      </c>
      <c r="AD82" s="281" t="str">
        <f t="shared" ca="1" si="31"/>
        <v/>
      </c>
      <c r="AE82" s="280" t="str">
        <f t="shared" ca="1" si="31"/>
        <v/>
      </c>
      <c r="AF82" s="281">
        <f t="shared" ca="1" si="31"/>
        <v>0</v>
      </c>
      <c r="AG82" s="205" t="str">
        <f t="shared" si="20"/>
        <v>Saturday/Sunday shift</v>
      </c>
      <c r="AH82" s="228"/>
      <c r="AI82" s="238">
        <f ca="1">SUM(B82:AF82)</f>
        <v>0</v>
      </c>
      <c r="AJ82" s="229">
        <f ca="1">IFERROR(SUMPRODUCT((B82:AF82&gt;0)*(B82:AF82&lt;&gt;"")),0)</f>
        <v>0</v>
      </c>
      <c r="AK82" s="224"/>
      <c r="AL82" s="245">
        <f ca="1">IF(EB.Anwendung&lt;&gt;"",IF(MONTH(Monat.Tag1)=1,0,IF(MONTH(Monat.Tag1)=2,January!Monat.SDUeVM,IF(MONTH(Monat.Tag1)=3,February!Monat.SDUeVM,IF(MONTH(Monat.Tag1)=4,March!Monat.SDUeVM,IF(MONTH(Monat.Tag1)=5,April!Monat.SDUeVM,IF(MONTH(Monat.Tag1)=6,May!Monat.SDUeVM,IF(MONTH(Monat.Tag1)=7,June!Monat.SDUeVM,IF(MONTH(Monat.Tag1)=8,July!Monat.SDUeVM,IF(MONTH(Monat.Tag1)=9,August!Monat.SDUeVM,IF(MONTH(Monat.Tag1)=10,September!Monat.SDUeVM,IF(MONTH(Monat.Tag1)=11,October!Monat.SDUeVM,IF(MONTH(Monat.Tag1)=12,November!Monat.SDUeVM,"")))))))))))),"")</f>
        <v>0</v>
      </c>
      <c r="AM82" s="209"/>
      <c r="AN82" s="246">
        <f ca="1">AI82+AL82</f>
        <v>0</v>
      </c>
      <c r="AO82" s="208"/>
      <c r="AP82" s="208"/>
      <c r="AQ82" s="119"/>
    </row>
    <row r="83" spans="1:43" s="38" customFormat="1" ht="11.25" customHeight="1" outlineLevel="1" x14ac:dyDescent="0.2">
      <c r="A83" s="220"/>
      <c r="B83" s="226"/>
      <c r="C83" s="226"/>
      <c r="D83" s="226"/>
      <c r="E83" s="226"/>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7"/>
      <c r="AG83" s="205"/>
      <c r="AH83" s="228"/>
      <c r="AI83" s="224"/>
      <c r="AJ83" s="278"/>
      <c r="AK83" s="262"/>
      <c r="AL83" s="262"/>
      <c r="AM83" s="209"/>
      <c r="AN83" s="279"/>
      <c r="AO83" s="283"/>
      <c r="AP83" s="283"/>
      <c r="AQ83" s="119"/>
    </row>
    <row r="84" spans="1:43" s="38" customFormat="1" ht="15" customHeight="1" x14ac:dyDescent="0.2">
      <c r="A84" s="212" t="s">
        <v>80</v>
      </c>
      <c r="B84" s="40"/>
      <c r="C84" s="40"/>
      <c r="D84" s="40"/>
      <c r="E84" s="40"/>
      <c r="F84" s="40"/>
      <c r="G84" s="40"/>
      <c r="H84" s="40"/>
      <c r="I84" s="40"/>
      <c r="J84" s="40"/>
      <c r="K84" s="40"/>
      <c r="L84" s="40"/>
      <c r="M84" s="40"/>
      <c r="N84" s="40"/>
      <c r="O84" s="40"/>
      <c r="P84" s="40"/>
      <c r="Q84" s="40"/>
      <c r="R84" s="40"/>
      <c r="S84" s="40"/>
      <c r="T84" s="40"/>
      <c r="U84" s="40"/>
      <c r="V84" s="40"/>
      <c r="W84" s="40"/>
      <c r="X84" s="40"/>
      <c r="Y84" s="40"/>
      <c r="Z84" s="47"/>
      <c r="AA84" s="40"/>
      <c r="AB84" s="40"/>
      <c r="AC84" s="40"/>
      <c r="AD84" s="40"/>
      <c r="AE84" s="40"/>
      <c r="AF84" s="40"/>
      <c r="AG84" s="205" t="str">
        <f>A84 &amp; IFERROR(IF(AND(MONTH(Monat.Tag1)=6,EB.Jahr&gt;2020),IF(SUM(Jahresabrechnung!AC15:AC20)&lt;EB.FerienBer,IF(EB.Sprache="EN"," (Balance PY "," (Saldo VJ ") &amp; " &gt; 0!)",""),""),"")</f>
        <v>Vacation</v>
      </c>
      <c r="AH84" s="218"/>
      <c r="AI84" s="238">
        <f t="shared" ref="AI84:AI95" si="32">SUM(B84:AF84)</f>
        <v>0</v>
      </c>
      <c r="AJ84" s="261"/>
      <c r="AK84" s="245">
        <f ca="1">OFFSET(EB.MFAStd.Knoten,MONTH(Monat.Tag1),0,1,1)</f>
        <v>0</v>
      </c>
      <c r="AL84" s="245">
        <f ca="1">IF(EB.Anwendung&lt;&gt;"",IF(MONTH(Monat.Tag1)=1,EB.FerienBer,IF(MONTH(Monat.Tag1)=2,January!Monat.FerienUeVM,IF(MONTH(Monat.Tag1)=3,February!Monat.FerienUeVM,IF(MONTH(Monat.Tag1)=4,March!Monat.FerienUeVM,IF(MONTH(Monat.Tag1)=5,April!Monat.FerienUeVM,IF(MONTH(Monat.Tag1)=6,May!Monat.FerienUeVM,IF(MONTH(Monat.Tag1)=7,June!Monat.FerienUeVM,IF(MONTH(Monat.Tag1)=8,July!Monat.FerienUeVM,IF(MONTH(Monat.Tag1)=9,August!Monat.FerienUeVM,IF(MONTH(Monat.Tag1)=10,September!Monat.FerienUeVM,IF(MONTH(Monat.Tag1)=11,October!Monat.FerienUeVM,IF(MONTH(Monat.Tag1)=12,November!Monat.FerienUeVM,"")))))))))))),"")</f>
        <v>0</v>
      </c>
      <c r="AM84" s="209"/>
      <c r="AN84" s="246">
        <f ca="1">ROUND(IF(AH85="+",(AK84+AL84-Monat.Ferien.Total+AI85),(AK84+AL84-Monat.Ferien.Total-AI85))*1440,0)/1440</f>
        <v>0</v>
      </c>
      <c r="AO84" s="246">
        <f ca="1">SUM(Jahresabrechnung!AC12:AC13)-SUM(OFFSET(Jahresabrechnung!AC15,0,0,MONTH(Monat.Tag1),1))</f>
        <v>0</v>
      </c>
      <c r="AP84" s="246">
        <f ca="1">J.FerienUE.Total</f>
        <v>0</v>
      </c>
      <c r="AQ84" s="119"/>
    </row>
    <row r="85" spans="1:43" s="38" customFormat="1" ht="15" customHeight="1" x14ac:dyDescent="0.2">
      <c r="A85" s="220"/>
      <c r="B85" s="437">
        <f t="shared" ref="B85:AF85" ca="1" si="33">IF(DAY(B$10)=1,Monat.Ferien.JS+Monat.Ferien.Total-B84,A85-B84)</f>
        <v>0</v>
      </c>
      <c r="C85" s="437">
        <f t="shared" ca="1" si="33"/>
        <v>0</v>
      </c>
      <c r="D85" s="437">
        <f t="shared" ca="1" si="33"/>
        <v>0</v>
      </c>
      <c r="E85" s="437">
        <f t="shared" ca="1" si="33"/>
        <v>0</v>
      </c>
      <c r="F85" s="437">
        <f t="shared" ca="1" si="33"/>
        <v>0</v>
      </c>
      <c r="G85" s="437">
        <f t="shared" ca="1" si="33"/>
        <v>0</v>
      </c>
      <c r="H85" s="437">
        <f t="shared" ca="1" si="33"/>
        <v>0</v>
      </c>
      <c r="I85" s="437">
        <f t="shared" ca="1" si="33"/>
        <v>0</v>
      </c>
      <c r="J85" s="437">
        <f t="shared" ca="1" si="33"/>
        <v>0</v>
      </c>
      <c r="K85" s="437">
        <f t="shared" ca="1" si="33"/>
        <v>0</v>
      </c>
      <c r="L85" s="437">
        <f t="shared" ca="1" si="33"/>
        <v>0</v>
      </c>
      <c r="M85" s="437">
        <f t="shared" ca="1" si="33"/>
        <v>0</v>
      </c>
      <c r="N85" s="437">
        <f t="shared" ca="1" si="33"/>
        <v>0</v>
      </c>
      <c r="O85" s="437">
        <f t="shared" ca="1" si="33"/>
        <v>0</v>
      </c>
      <c r="P85" s="437">
        <f t="shared" ca="1" si="33"/>
        <v>0</v>
      </c>
      <c r="Q85" s="437">
        <f t="shared" ca="1" si="33"/>
        <v>0</v>
      </c>
      <c r="R85" s="437">
        <f t="shared" ca="1" si="33"/>
        <v>0</v>
      </c>
      <c r="S85" s="437">
        <f t="shared" ca="1" si="33"/>
        <v>0</v>
      </c>
      <c r="T85" s="437">
        <f t="shared" ca="1" si="33"/>
        <v>0</v>
      </c>
      <c r="U85" s="437">
        <f t="shared" ca="1" si="33"/>
        <v>0</v>
      </c>
      <c r="V85" s="437">
        <f t="shared" ca="1" si="33"/>
        <v>0</v>
      </c>
      <c r="W85" s="437">
        <f t="shared" ca="1" si="33"/>
        <v>0</v>
      </c>
      <c r="X85" s="437">
        <f t="shared" ca="1" si="33"/>
        <v>0</v>
      </c>
      <c r="Y85" s="437">
        <f t="shared" ca="1" si="33"/>
        <v>0</v>
      </c>
      <c r="Z85" s="437">
        <f t="shared" ca="1" si="33"/>
        <v>0</v>
      </c>
      <c r="AA85" s="437">
        <f t="shared" ca="1" si="33"/>
        <v>0</v>
      </c>
      <c r="AB85" s="437">
        <f t="shared" ca="1" si="33"/>
        <v>0</v>
      </c>
      <c r="AC85" s="437">
        <f t="shared" ca="1" si="33"/>
        <v>0</v>
      </c>
      <c r="AD85" s="437">
        <f t="shared" ca="1" si="33"/>
        <v>0</v>
      </c>
      <c r="AE85" s="437">
        <f t="shared" ca="1" si="33"/>
        <v>0</v>
      </c>
      <c r="AF85" s="438">
        <f t="shared" ca="1" si="33"/>
        <v>0</v>
      </c>
      <c r="AG85" s="212" t="s">
        <v>92</v>
      </c>
      <c r="AH85" s="45" t="s">
        <v>2</v>
      </c>
      <c r="AI85" s="48"/>
      <c r="AJ85" s="270"/>
      <c r="AK85" s="209"/>
      <c r="AL85" s="209"/>
      <c r="AM85" s="209"/>
      <c r="AN85" s="208"/>
      <c r="AO85" s="284"/>
      <c r="AP85" s="284"/>
      <c r="AQ85" s="119"/>
    </row>
    <row r="86" spans="1:43" s="38" customFormat="1" ht="15" customHeight="1" x14ac:dyDescent="0.2">
      <c r="A86" s="212" t="s">
        <v>81</v>
      </c>
      <c r="B86" s="40"/>
      <c r="C86" s="40"/>
      <c r="D86" s="40"/>
      <c r="E86" s="27"/>
      <c r="F86" s="40"/>
      <c r="G86" s="40"/>
      <c r="H86" s="40"/>
      <c r="I86" s="40"/>
      <c r="J86" s="27"/>
      <c r="K86" s="40"/>
      <c r="L86" s="27"/>
      <c r="M86" s="40"/>
      <c r="N86" s="40"/>
      <c r="O86" s="40"/>
      <c r="P86" s="40"/>
      <c r="Q86" s="27"/>
      <c r="R86" s="40"/>
      <c r="S86" s="27"/>
      <c r="T86" s="27"/>
      <c r="U86" s="40"/>
      <c r="V86" s="40"/>
      <c r="W86" s="40"/>
      <c r="X86" s="27"/>
      <c r="Y86" s="40"/>
      <c r="Z86" s="39"/>
      <c r="AA86" s="40"/>
      <c r="AB86" s="40"/>
      <c r="AC86" s="40"/>
      <c r="AD86" s="40"/>
      <c r="AE86" s="27"/>
      <c r="AF86" s="40"/>
      <c r="AG86" s="205" t="str">
        <f t="shared" ref="AG86:AG112" si="34">A86</f>
        <v>Consultation</v>
      </c>
      <c r="AH86" s="218"/>
      <c r="AI86" s="238">
        <f t="shared" si="32"/>
        <v>0</v>
      </c>
      <c r="AJ86" s="261"/>
      <c r="AK86" s="262"/>
      <c r="AL86" s="245">
        <f ca="1">IF(EB.Anwendung&lt;&gt;"",IF(MONTH(Monat.Tag1)=1,0,IF(MONTH(Monat.Tag1)=2,January!Monat.ArztUeVM,IF(MONTH(Monat.Tag1)=3,February!Monat.ArztUeVM,IF(MONTH(Monat.Tag1)=4,March!Monat.ArztUeVM,IF(MONTH(Monat.Tag1)=5,April!Monat.ArztUeVM,IF(MONTH(Monat.Tag1)=6,May!Monat.ArztUeVM,IF(MONTH(Monat.Tag1)=7,June!Monat.ArztUeVM,IF(MONTH(Monat.Tag1)=8,July!Monat.ArztUeVM,IF(MONTH(Monat.Tag1)=9,August!Monat.ArztUeVM,IF(MONTH(Monat.Tag1)=10,September!Monat.ArztUeVM,IF(MONTH(Monat.Tag1)=11,October!Monat.ArztUeVM,IF(MONTH(Monat.Tag1)=12,November!Monat.ArztUeVM,"")))))))))))),"")</f>
        <v>0</v>
      </c>
      <c r="AM86" s="209"/>
      <c r="AN86" s="246">
        <f t="shared" ref="AN86:AN94" ca="1" si="35">AI86+AL86</f>
        <v>0</v>
      </c>
      <c r="AO86" s="208"/>
      <c r="AP86" s="208"/>
      <c r="AQ86" s="119"/>
    </row>
    <row r="87" spans="1:43" s="38" customFormat="1" ht="15" customHeight="1" x14ac:dyDescent="0.2">
      <c r="A87" s="212" t="s">
        <v>82</v>
      </c>
      <c r="B87" s="40"/>
      <c r="C87" s="40"/>
      <c r="D87" s="40"/>
      <c r="E87" s="27"/>
      <c r="F87" s="40"/>
      <c r="G87" s="40"/>
      <c r="H87" s="40"/>
      <c r="I87" s="40"/>
      <c r="J87" s="27"/>
      <c r="K87" s="40"/>
      <c r="L87" s="27"/>
      <c r="M87" s="40"/>
      <c r="N87" s="40"/>
      <c r="O87" s="40"/>
      <c r="P87" s="40"/>
      <c r="Q87" s="27"/>
      <c r="R87" s="40"/>
      <c r="S87" s="27"/>
      <c r="T87" s="27"/>
      <c r="U87" s="40"/>
      <c r="V87" s="40"/>
      <c r="W87" s="40"/>
      <c r="X87" s="27"/>
      <c r="Y87" s="40"/>
      <c r="Z87" s="39"/>
      <c r="AA87" s="40"/>
      <c r="AB87" s="40"/>
      <c r="AC87" s="40"/>
      <c r="AD87" s="40"/>
      <c r="AE87" s="27"/>
      <c r="AF87" s="40"/>
      <c r="AG87" s="205" t="str">
        <f t="shared" si="34"/>
        <v>Illness</v>
      </c>
      <c r="AH87" s="218"/>
      <c r="AI87" s="238">
        <f t="shared" si="32"/>
        <v>0</v>
      </c>
      <c r="AJ87" s="261"/>
      <c r="AK87" s="262"/>
      <c r="AL87" s="245">
        <f ca="1">IF(EB.Anwendung&lt;&gt;"",IF(MONTH(Monat.Tag1)=1,0,IF(MONTH(Monat.Tag1)=2,January!Monat.KrankUeVM,IF(MONTH(Monat.Tag1)=3,February!Monat.KrankUeVM,IF(MONTH(Monat.Tag1)=4,March!Monat.KrankUeVM,IF(MONTH(Monat.Tag1)=5,April!Monat.KrankUeVM,IF(MONTH(Monat.Tag1)=6,May!Monat.KrankUeVM,IF(MONTH(Monat.Tag1)=7,June!Monat.KrankUeVM,IF(MONTH(Monat.Tag1)=8,July!Monat.KrankUeVM,IF(MONTH(Monat.Tag1)=9,August!Monat.KrankUeVM,IF(MONTH(Monat.Tag1)=10,September!Monat.KrankUeVM,IF(MONTH(Monat.Tag1)=11,October!Monat.KrankUeVM,IF(MONTH(Monat.Tag1)=12,November!Monat.KrankUeVM,"")))))))))))),"")</f>
        <v>0</v>
      </c>
      <c r="AM87" s="209"/>
      <c r="AN87" s="246">
        <f t="shared" ca="1" si="35"/>
        <v>0</v>
      </c>
      <c r="AO87" s="208"/>
      <c r="AP87" s="208"/>
      <c r="AQ87" s="119"/>
    </row>
    <row r="88" spans="1:43" s="38" customFormat="1" ht="15" customHeight="1" x14ac:dyDescent="0.2">
      <c r="A88" s="212" t="s">
        <v>83</v>
      </c>
      <c r="B88" s="40"/>
      <c r="C88" s="40"/>
      <c r="D88" s="40"/>
      <c r="E88" s="27"/>
      <c r="F88" s="40"/>
      <c r="G88" s="40"/>
      <c r="H88" s="40"/>
      <c r="I88" s="40"/>
      <c r="J88" s="27"/>
      <c r="K88" s="40"/>
      <c r="L88" s="27"/>
      <c r="M88" s="40"/>
      <c r="N88" s="40"/>
      <c r="O88" s="40"/>
      <c r="P88" s="40"/>
      <c r="Q88" s="27"/>
      <c r="R88" s="40"/>
      <c r="S88" s="27"/>
      <c r="T88" s="27"/>
      <c r="U88" s="40"/>
      <c r="V88" s="40"/>
      <c r="W88" s="40"/>
      <c r="X88" s="27"/>
      <c r="Y88" s="40"/>
      <c r="Z88" s="39"/>
      <c r="AA88" s="40"/>
      <c r="AB88" s="40"/>
      <c r="AC88" s="40"/>
      <c r="AD88" s="40"/>
      <c r="AE88" s="27"/>
      <c r="AF88" s="40"/>
      <c r="AG88" s="205" t="str">
        <f t="shared" si="34"/>
        <v>Work-related accident</v>
      </c>
      <c r="AH88" s="218"/>
      <c r="AI88" s="238">
        <f t="shared" si="32"/>
        <v>0</v>
      </c>
      <c r="AJ88" s="261"/>
      <c r="AK88" s="262"/>
      <c r="AL88" s="245">
        <f ca="1">IF(EB.Anwendung&lt;&gt;"",IF(MONTH(Monat.Tag1)=1,0,IF(MONTH(Monat.Tag1)=2,January!Monat.BUUeVM,IF(MONTH(Monat.Tag1)=3,February!Monat.BUUeVM,IF(MONTH(Monat.Tag1)=4,March!Monat.BUUeVM,IF(MONTH(Monat.Tag1)=5,April!Monat.BUUeVM,IF(MONTH(Monat.Tag1)=6,May!Monat.BUUeVM,IF(MONTH(Monat.Tag1)=7,June!Monat.BUUeVM,IF(MONTH(Monat.Tag1)=8,July!Monat.BUUeVM,IF(MONTH(Monat.Tag1)=9,August!Monat.BUUeVM,IF(MONTH(Monat.Tag1)=10,September!Monat.BUUeVM,IF(MONTH(Monat.Tag1)=11,October!Monat.BUUeVM,IF(MONTH(Monat.Tag1)=12,November!Monat.BUUeVM,"")))))))))))),"")</f>
        <v>0</v>
      </c>
      <c r="AM88" s="209"/>
      <c r="AN88" s="246">
        <f t="shared" ca="1" si="35"/>
        <v>0</v>
      </c>
      <c r="AO88" s="208"/>
      <c r="AP88" s="208"/>
      <c r="AQ88" s="119"/>
    </row>
    <row r="89" spans="1:43" s="38" customFormat="1" ht="15" customHeight="1" x14ac:dyDescent="0.2">
      <c r="A89" s="212" t="s">
        <v>240</v>
      </c>
      <c r="B89" s="40"/>
      <c r="C89" s="40"/>
      <c r="D89" s="40"/>
      <c r="E89" s="27"/>
      <c r="F89" s="40"/>
      <c r="G89" s="40"/>
      <c r="H89" s="40"/>
      <c r="I89" s="40"/>
      <c r="J89" s="27"/>
      <c r="K89" s="40"/>
      <c r="L89" s="27"/>
      <c r="M89" s="40"/>
      <c r="N89" s="40"/>
      <c r="O89" s="40"/>
      <c r="P89" s="40"/>
      <c r="Q89" s="27"/>
      <c r="R89" s="40"/>
      <c r="S89" s="27"/>
      <c r="T89" s="27"/>
      <c r="U89" s="40"/>
      <c r="V89" s="40"/>
      <c r="W89" s="40"/>
      <c r="X89" s="27"/>
      <c r="Y89" s="40"/>
      <c r="Z89" s="39"/>
      <c r="AA89" s="40"/>
      <c r="AB89" s="40"/>
      <c r="AC89" s="40"/>
      <c r="AD89" s="40"/>
      <c r="AE89" s="27"/>
      <c r="AF89" s="40"/>
      <c r="AG89" s="205" t="str">
        <f t="shared" si="34"/>
        <v>Non-work-related accident</v>
      </c>
      <c r="AH89" s="218"/>
      <c r="AI89" s="238">
        <f t="shared" si="32"/>
        <v>0</v>
      </c>
      <c r="AJ89" s="261"/>
      <c r="AK89" s="262"/>
      <c r="AL89" s="245">
        <f ca="1">IF(EB.Anwendung&lt;&gt;"",IF(MONTH(Monat.Tag1)=1,0,IF(MONTH(Monat.Tag1)=2,January!Monat.NBUUeVM,IF(MONTH(Monat.Tag1)=3,February!Monat.NBUUeVM,IF(MONTH(Monat.Tag1)=4,March!Monat.NBUUeVM,IF(MONTH(Monat.Tag1)=5,April!Monat.NBUUeVM,IF(MONTH(Monat.Tag1)=6,May!Monat.NBUUeVM,IF(MONTH(Monat.Tag1)=7,June!Monat.NBUUeVM,IF(MONTH(Monat.Tag1)=8,July!Monat.NBUUeVM,IF(MONTH(Monat.Tag1)=9,August!Monat.NBUUeVM,IF(MONTH(Monat.Tag1)=10,September!Monat.NBUUeVM,IF(MONTH(Monat.Tag1)=11,October!Monat.NBUUeVM,IF(MONTH(Monat.Tag1)=12,November!Monat.NBUUeVM,"")))))))))))),"")</f>
        <v>0</v>
      </c>
      <c r="AM89" s="209"/>
      <c r="AN89" s="246">
        <f t="shared" ca="1" si="35"/>
        <v>0</v>
      </c>
      <c r="AO89" s="208"/>
      <c r="AP89" s="208"/>
      <c r="AQ89" s="119"/>
    </row>
    <row r="90" spans="1:43" s="38" customFormat="1" ht="15" customHeight="1" x14ac:dyDescent="0.2">
      <c r="A90" s="212" t="s">
        <v>84</v>
      </c>
      <c r="B90" s="40"/>
      <c r="C90" s="40"/>
      <c r="D90" s="40"/>
      <c r="E90" s="27"/>
      <c r="F90" s="40"/>
      <c r="G90" s="40"/>
      <c r="H90" s="40"/>
      <c r="I90" s="40"/>
      <c r="J90" s="27"/>
      <c r="K90" s="40"/>
      <c r="L90" s="27"/>
      <c r="M90" s="40"/>
      <c r="N90" s="40"/>
      <c r="O90" s="40"/>
      <c r="P90" s="40"/>
      <c r="Q90" s="27"/>
      <c r="R90" s="40"/>
      <c r="S90" s="27"/>
      <c r="T90" s="27"/>
      <c r="U90" s="40"/>
      <c r="V90" s="40"/>
      <c r="W90" s="40"/>
      <c r="X90" s="27"/>
      <c r="Y90" s="40"/>
      <c r="Z90" s="39"/>
      <c r="AA90" s="40"/>
      <c r="AB90" s="40"/>
      <c r="AC90" s="40"/>
      <c r="AD90" s="40"/>
      <c r="AE90" s="27"/>
      <c r="AF90" s="40"/>
      <c r="AG90" s="205" t="str">
        <f t="shared" si="34"/>
        <v>Military/civilian service</v>
      </c>
      <c r="AH90" s="218"/>
      <c r="AI90" s="238">
        <f t="shared" si="32"/>
        <v>0</v>
      </c>
      <c r="AJ90" s="261"/>
      <c r="AK90" s="262"/>
      <c r="AL90" s="245">
        <f ca="1">IF(EB.Anwendung&lt;&gt;"",IF(MONTH(Monat.Tag1)=1,0,IF(MONTH(Monat.Tag1)=2,January!Monat.MZSUeVM,IF(MONTH(Monat.Tag1)=3,February!Monat.MZSUeVM,IF(MONTH(Monat.Tag1)=4,March!Monat.MZSUeVM,IF(MONTH(Monat.Tag1)=5,April!Monat.MZSUeVM,IF(MONTH(Monat.Tag1)=6,May!Monat.MZSUeVM,IF(MONTH(Monat.Tag1)=7,June!Monat.MZSUeVM,IF(MONTH(Monat.Tag1)=8,July!Monat.MZSUeVM,IF(MONTH(Monat.Tag1)=9,August!Monat.MZSUeVM,IF(MONTH(Monat.Tag1)=10,September!Monat.MZSUeVM,IF(MONTH(Monat.Tag1)=11,October!Monat.MZSUeVM,IF(MONTH(Monat.Tag1)=12,November!Monat.MZSUeVM,"")))))))))))),"")</f>
        <v>0</v>
      </c>
      <c r="AM90" s="209"/>
      <c r="AN90" s="246">
        <f t="shared" ca="1" si="35"/>
        <v>0</v>
      </c>
      <c r="AO90" s="208"/>
      <c r="AP90" s="208"/>
      <c r="AQ90" s="119"/>
    </row>
    <row r="91" spans="1:43" s="38" customFormat="1" ht="15" customHeight="1" x14ac:dyDescent="0.2">
      <c r="A91" s="212" t="s">
        <v>85</v>
      </c>
      <c r="B91" s="40"/>
      <c r="C91" s="40"/>
      <c r="D91" s="40"/>
      <c r="E91" s="27"/>
      <c r="F91" s="40"/>
      <c r="G91" s="40"/>
      <c r="H91" s="40"/>
      <c r="I91" s="40"/>
      <c r="J91" s="27"/>
      <c r="K91" s="40"/>
      <c r="L91" s="27"/>
      <c r="M91" s="40"/>
      <c r="N91" s="40"/>
      <c r="O91" s="40"/>
      <c r="P91" s="40"/>
      <c r="Q91" s="27"/>
      <c r="R91" s="40"/>
      <c r="S91" s="27"/>
      <c r="T91" s="27"/>
      <c r="U91" s="40"/>
      <c r="V91" s="40"/>
      <c r="W91" s="40"/>
      <c r="X91" s="27"/>
      <c r="Y91" s="40"/>
      <c r="Z91" s="39"/>
      <c r="AA91" s="40"/>
      <c r="AB91" s="40"/>
      <c r="AC91" s="40"/>
      <c r="AD91" s="40"/>
      <c r="AE91" s="27"/>
      <c r="AF91" s="40"/>
      <c r="AG91" s="205" t="str">
        <f t="shared" si="34"/>
        <v>Continuing education</v>
      </c>
      <c r="AH91" s="218"/>
      <c r="AI91" s="238">
        <f t="shared" si="32"/>
        <v>0</v>
      </c>
      <c r="AJ91" s="261"/>
      <c r="AK91" s="262"/>
      <c r="AL91" s="245">
        <f ca="1">IF(EB.Anwendung&lt;&gt;"",IF(MONTH(Monat.Tag1)=1,0,IF(MONTH(Monat.Tag1)=2,January!Monat.WBUeVM,IF(MONTH(Monat.Tag1)=3,February!Monat.WBUeVM,IF(MONTH(Monat.Tag1)=4,March!Monat.WBUeVM,IF(MONTH(Monat.Tag1)=5,April!Monat.WBUeVM,IF(MONTH(Monat.Tag1)=6,May!Monat.WBUeVM,IF(MONTH(Monat.Tag1)=7,June!Monat.WBUeVM,IF(MONTH(Monat.Tag1)=8,July!Monat.WBUeVM,IF(MONTH(Monat.Tag1)=9,August!Monat.WBUeVM,IF(MONTH(Monat.Tag1)=10,September!Monat.WBUeVM,IF(MONTH(Monat.Tag1)=11,October!Monat.WBUeVM,IF(MONTH(Monat.Tag1)=12,November!Monat.WBUeVM,"")))))))))))),"")</f>
        <v>0</v>
      </c>
      <c r="AM91" s="209"/>
      <c r="AN91" s="246">
        <f t="shared" ca="1" si="35"/>
        <v>0</v>
      </c>
      <c r="AO91" s="208"/>
      <c r="AP91" s="208"/>
      <c r="AQ91" s="119"/>
    </row>
    <row r="92" spans="1:43" s="38" customFormat="1" ht="15" customHeight="1" x14ac:dyDescent="0.2">
      <c r="A92" s="212" t="s">
        <v>86</v>
      </c>
      <c r="B92" s="40"/>
      <c r="C92" s="40"/>
      <c r="D92" s="40"/>
      <c r="E92" s="27"/>
      <c r="F92" s="40"/>
      <c r="G92" s="40"/>
      <c r="H92" s="40"/>
      <c r="I92" s="40"/>
      <c r="J92" s="27"/>
      <c r="K92" s="40"/>
      <c r="L92" s="27"/>
      <c r="M92" s="40"/>
      <c r="N92" s="40"/>
      <c r="O92" s="40"/>
      <c r="P92" s="40"/>
      <c r="Q92" s="27"/>
      <c r="R92" s="40"/>
      <c r="S92" s="27"/>
      <c r="T92" s="27"/>
      <c r="U92" s="40"/>
      <c r="V92" s="40"/>
      <c r="W92" s="40"/>
      <c r="X92" s="27"/>
      <c r="Y92" s="40"/>
      <c r="Z92" s="39"/>
      <c r="AA92" s="40"/>
      <c r="AB92" s="40"/>
      <c r="AC92" s="40"/>
      <c r="AD92" s="40"/>
      <c r="AE92" s="27"/>
      <c r="AF92" s="40"/>
      <c r="AG92" s="205" t="str">
        <f t="shared" si="34"/>
        <v>Paid leave</v>
      </c>
      <c r="AH92" s="218"/>
      <c r="AI92" s="238">
        <f t="shared" si="32"/>
        <v>0</v>
      </c>
      <c r="AJ92" s="261"/>
      <c r="AK92" s="262"/>
      <c r="AL92" s="245">
        <f ca="1">IF(EB.Anwendung&lt;&gt;"",IF(MONTH(Monat.Tag1)=1,0,IF(MONTH(Monat.Tag1)=2,January!Monat.BesUrlaubUeVM,IF(MONTH(Monat.Tag1)=3,February!Monat.BesUrlaubUeVM,IF(MONTH(Monat.Tag1)=4,March!Monat.BesUrlaubUeVM,IF(MONTH(Monat.Tag1)=5,April!Monat.BesUrlaubUeVM,IF(MONTH(Monat.Tag1)=6,May!Monat.BesUrlaubUeVM,IF(MONTH(Monat.Tag1)=7,June!Monat.BesUrlaubUeVM,IF(MONTH(Monat.Tag1)=8,July!Monat.BesUrlaubUeVM,IF(MONTH(Monat.Tag1)=9,August!Monat.BesUrlaubUeVM,IF(MONTH(Monat.Tag1)=10,September!Monat.BesUrlaubUeVM,IF(MONTH(Monat.Tag1)=11,October!Monat.BesUrlaubUeVM,IF(MONTH(Monat.Tag1)=12,November!Monat.BesUrlaubUeVM,"")))))))))))),"")</f>
        <v>0</v>
      </c>
      <c r="AM92" s="209"/>
      <c r="AN92" s="246">
        <f t="shared" ca="1" si="35"/>
        <v>0</v>
      </c>
      <c r="AO92" s="208"/>
      <c r="AP92" s="208"/>
      <c r="AQ92" s="119"/>
    </row>
    <row r="93" spans="1:43" s="38" customFormat="1" ht="15" customHeight="1" x14ac:dyDescent="0.2">
      <c r="A93" s="212" t="s">
        <v>87</v>
      </c>
      <c r="B93" s="40"/>
      <c r="C93" s="40"/>
      <c r="D93" s="40"/>
      <c r="E93" s="27"/>
      <c r="F93" s="40"/>
      <c r="G93" s="40"/>
      <c r="H93" s="40"/>
      <c r="I93" s="40"/>
      <c r="J93" s="27"/>
      <c r="K93" s="40"/>
      <c r="L93" s="27"/>
      <c r="M93" s="40"/>
      <c r="N93" s="40"/>
      <c r="O93" s="40"/>
      <c r="P93" s="40"/>
      <c r="Q93" s="27"/>
      <c r="R93" s="40"/>
      <c r="S93" s="27"/>
      <c r="T93" s="27"/>
      <c r="U93" s="40"/>
      <c r="V93" s="40"/>
      <c r="W93" s="40"/>
      <c r="X93" s="27"/>
      <c r="Y93" s="40"/>
      <c r="Z93" s="39"/>
      <c r="AA93" s="40"/>
      <c r="AB93" s="40"/>
      <c r="AC93" s="40"/>
      <c r="AD93" s="40"/>
      <c r="AE93" s="27"/>
      <c r="AF93" s="40"/>
      <c r="AG93" s="205" t="str">
        <f t="shared" si="34"/>
        <v>Unpaid leave</v>
      </c>
      <c r="AH93" s="218"/>
      <c r="AI93" s="238">
        <f t="shared" si="32"/>
        <v>0</v>
      </c>
      <c r="AJ93" s="261"/>
      <c r="AK93" s="262"/>
      <c r="AL93" s="245">
        <f ca="1">IF(EB.Anwendung&lt;&gt;"",IF(MONTH(Monat.Tag1)=1,0,IF(MONTH(Monat.Tag1)=2,January!Monat.UnbesUrlaubUeVM,IF(MONTH(Monat.Tag1)=3,February!Monat.UnbesUrlaubUeVM,IF(MONTH(Monat.Tag1)=4,March!Monat.UnbesUrlaubUeVM,IF(MONTH(Monat.Tag1)=5,April!Monat.UnbesUrlaubUeVM,IF(MONTH(Monat.Tag1)=6,May!Monat.UnbesUrlaubUeVM,IF(MONTH(Monat.Tag1)=7,June!Monat.UnbesUrlaubUeVM,IF(MONTH(Monat.Tag1)=8,July!Monat.UnbesUrlaubUeVM,IF(MONTH(Monat.Tag1)=9,August!Monat.UnbesUrlaubUeVM,IF(MONTH(Monat.Tag1)=10,September!Monat.UnbesUrlaubUeVM,IF(MONTH(Monat.Tag1)=11,October!Monat.UnbesUrlaubUeVM,IF(MONTH(Monat.Tag1)=12,November!Monat.UnbesUrlaubUeVM,"")))))))))))),"")</f>
        <v>0</v>
      </c>
      <c r="AM93" s="209"/>
      <c r="AN93" s="246">
        <f t="shared" ca="1" si="35"/>
        <v>0</v>
      </c>
      <c r="AO93" s="208"/>
      <c r="AP93" s="208"/>
      <c r="AQ93" s="119"/>
    </row>
    <row r="94" spans="1:43" s="38" customFormat="1" ht="15" hidden="1" customHeight="1" outlineLevel="1" x14ac:dyDescent="0.2">
      <c r="A94" s="212" t="s">
        <v>120</v>
      </c>
      <c r="B94" s="40"/>
      <c r="C94" s="40"/>
      <c r="D94" s="40"/>
      <c r="E94" s="27"/>
      <c r="F94" s="40"/>
      <c r="G94" s="40"/>
      <c r="H94" s="40"/>
      <c r="I94" s="40"/>
      <c r="J94" s="27"/>
      <c r="K94" s="40"/>
      <c r="L94" s="27"/>
      <c r="M94" s="40"/>
      <c r="N94" s="40"/>
      <c r="O94" s="40"/>
      <c r="P94" s="40"/>
      <c r="Q94" s="27"/>
      <c r="R94" s="40"/>
      <c r="S94" s="27"/>
      <c r="T94" s="27"/>
      <c r="U94" s="40"/>
      <c r="V94" s="40"/>
      <c r="W94" s="40"/>
      <c r="X94" s="27"/>
      <c r="Y94" s="40"/>
      <c r="Z94" s="39"/>
      <c r="AA94" s="40"/>
      <c r="AB94" s="40"/>
      <c r="AC94" s="40"/>
      <c r="AD94" s="40"/>
      <c r="AE94" s="27"/>
      <c r="AF94" s="40"/>
      <c r="AG94" s="205" t="str">
        <f t="shared" si="34"/>
        <v>Secondary employment</v>
      </c>
      <c r="AH94" s="218"/>
      <c r="AI94" s="238">
        <f t="shared" si="32"/>
        <v>0</v>
      </c>
      <c r="AJ94" s="261"/>
      <c r="AK94" s="262"/>
      <c r="AL94" s="245">
        <f ca="1">IF(EB.Anwendung&lt;&gt;"",IF(MONTH(Monat.Tag1)=1,0,IF(MONTH(Monat.Tag1)=2,January!Monat.NBUeVM,IF(MONTH(Monat.Tag1)=3,February!Monat.NBUeVM,IF(MONTH(Monat.Tag1)=4,March!Monat.NBUeVM,IF(MONTH(Monat.Tag1)=5,April!Monat.NBUeVM,IF(MONTH(Monat.Tag1)=6,May!Monat.NBUeVM,IF(MONTH(Monat.Tag1)=7,June!Monat.NBUeVM,IF(MONTH(Monat.Tag1)=8,July!Monat.NBUeVM,IF(MONTH(Monat.Tag1)=9,August!Monat.NBUeVM,IF(MONTH(Monat.Tag1)=10,September!Monat.NBUeVM,IF(MONTH(Monat.Tag1)=11,October!Monat.NBUeVM,IF(MONTH(Monat.Tag1)=12,November!Monat.NBUeVM,"")))))))))))),"")</f>
        <v>0</v>
      </c>
      <c r="AM94" s="209"/>
      <c r="AN94" s="246">
        <f t="shared" ca="1" si="35"/>
        <v>0</v>
      </c>
      <c r="AO94" s="208"/>
      <c r="AP94" s="208"/>
      <c r="AQ94" s="119"/>
    </row>
    <row r="95" spans="1:43" s="38" customFormat="1" ht="15" customHeight="1" collapsed="1" x14ac:dyDescent="0.2">
      <c r="A95" s="212" t="s">
        <v>56</v>
      </c>
      <c r="B95" s="40"/>
      <c r="C95" s="40"/>
      <c r="D95" s="40"/>
      <c r="E95" s="27"/>
      <c r="F95" s="40"/>
      <c r="G95" s="40"/>
      <c r="H95" s="40"/>
      <c r="I95" s="40"/>
      <c r="J95" s="27"/>
      <c r="K95" s="40"/>
      <c r="L95" s="27"/>
      <c r="M95" s="40"/>
      <c r="N95" s="40"/>
      <c r="O95" s="40"/>
      <c r="P95" s="40"/>
      <c r="Q95" s="27"/>
      <c r="R95" s="40"/>
      <c r="S95" s="27"/>
      <c r="T95" s="27"/>
      <c r="U95" s="40"/>
      <c r="V95" s="40"/>
      <c r="W95" s="40"/>
      <c r="X95" s="27"/>
      <c r="Y95" s="40"/>
      <c r="Z95" s="39"/>
      <c r="AA95" s="40"/>
      <c r="AB95" s="40"/>
      <c r="AC95" s="40"/>
      <c r="AD95" s="40"/>
      <c r="AE95" s="27"/>
      <c r="AF95" s="40"/>
      <c r="AG95" s="205" t="str">
        <f t="shared" si="34"/>
        <v>Seniority allowance</v>
      </c>
      <c r="AH95" s="218"/>
      <c r="AI95" s="238">
        <f t="shared" si="32"/>
        <v>0</v>
      </c>
      <c r="AJ95" s="261"/>
      <c r="AK95" s="262"/>
      <c r="AL95" s="245">
        <f ca="1">IF(EB.Anwendung&lt;&gt;"",IF(MONTH(Monat.Tag1)=1,EB.DAG,IF(MONTH(Monat.Tag1)=2,January!Monat.DAGUeVM,IF(MONTH(Monat.Tag1)=3,February!Monat.DAGUeVM,IF(MONTH(Monat.Tag1)=4,March!Monat.DAGUeVM,IF(MONTH(Monat.Tag1)=5,April!Monat.DAGUeVM,IF(MONTH(Monat.Tag1)=6,May!Monat.DAGUeVM,IF(MONTH(Monat.Tag1)=7,June!Monat.DAGUeVM,IF(MONTH(Monat.Tag1)=8,July!Monat.DAGUeVM,IF(MONTH(Monat.Tag1)=9,August!Monat.DAGUeVM,IF(MONTH(Monat.Tag1)=10,September!Monat.DAGUeVM,IF(MONTH(Monat.Tag1)=11,October!Monat.DAGUeVM,IF(MONTH(Monat.Tag1)=12,November!Monat.DAGUeVM,"")))))))))))),"")</f>
        <v>0</v>
      </c>
      <c r="AM95" s="209"/>
      <c r="AN95" s="246">
        <f ca="1">AL95-AI95</f>
        <v>0</v>
      </c>
      <c r="AO95" s="208"/>
      <c r="AP95" s="208"/>
      <c r="AQ95" s="119"/>
    </row>
    <row r="96" spans="1:43" s="38" customFormat="1" ht="11.25" customHeight="1" x14ac:dyDescent="0.2">
      <c r="A96" s="220"/>
      <c r="B96" s="223"/>
      <c r="C96" s="223"/>
      <c r="D96" s="223"/>
      <c r="E96" s="223"/>
      <c r="F96" s="223"/>
      <c r="G96" s="223"/>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23"/>
      <c r="AF96" s="224"/>
      <c r="AG96" s="205"/>
      <c r="AH96" s="228"/>
      <c r="AI96" s="224"/>
      <c r="AJ96" s="278"/>
      <c r="AK96" s="262"/>
      <c r="AL96" s="262"/>
      <c r="AM96" s="209"/>
      <c r="AN96" s="279"/>
      <c r="AO96" s="213"/>
      <c r="AP96" s="213"/>
      <c r="AQ96" s="119"/>
    </row>
    <row r="97" spans="1:43" s="38" customFormat="1" ht="15" customHeight="1" x14ac:dyDescent="0.2">
      <c r="A97" s="215" t="str">
        <f t="shared" ref="A97:A111" ca="1" si="36">IF(ROW(A97)-ROW(INDEX(Monat.Projekte.Zeilen,1))+1&gt;EB.AnzProjekte,"",OFFSET(EB.Projekte.Knoten,ROW(A97)-ROW(INDEX(Monat.Projekte.Zeilen,1))+1,0,1,1))</f>
        <v/>
      </c>
      <c r="B97" s="40"/>
      <c r="C97" s="40"/>
      <c r="D97" s="40"/>
      <c r="E97" s="27"/>
      <c r="F97" s="40"/>
      <c r="G97" s="40"/>
      <c r="H97" s="40"/>
      <c r="I97" s="40"/>
      <c r="J97" s="27"/>
      <c r="K97" s="40"/>
      <c r="L97" s="27"/>
      <c r="M97" s="40"/>
      <c r="N97" s="40"/>
      <c r="O97" s="40"/>
      <c r="P97" s="40"/>
      <c r="Q97" s="27"/>
      <c r="R97" s="40"/>
      <c r="S97" s="27"/>
      <c r="T97" s="27"/>
      <c r="U97" s="40"/>
      <c r="V97" s="40"/>
      <c r="W97" s="40"/>
      <c r="X97" s="27"/>
      <c r="Y97" s="40"/>
      <c r="Z97" s="39"/>
      <c r="AA97" s="40"/>
      <c r="AB97" s="40"/>
      <c r="AC97" s="40"/>
      <c r="AD97" s="40"/>
      <c r="AE97" s="27"/>
      <c r="AF97" s="40"/>
      <c r="AG97" s="205" t="str">
        <f t="shared" ca="1" si="34"/>
        <v/>
      </c>
      <c r="AH97" s="233"/>
      <c r="AI97" s="285">
        <f>SUM(B97:AF97)</f>
        <v>0</v>
      </c>
      <c r="AJ97" s="261"/>
      <c r="AK97" s="224"/>
      <c r="AL97" s="245">
        <f ca="1">IF(EB.Anwendung&lt;&gt;"",IF(MONTH(Monat.Tag1)=1,0,IF(MONTH(Monat.Tag1)=2,January!Monat.P1UeVM,IF(MONTH(Monat.Tag1)=3,February!Monat.P1UeVM,IF(MONTH(Monat.Tag1)=4,March!Monat.P1UeVM,IF(MONTH(Monat.Tag1)=5,April!Monat.P1UeVM,IF(MONTH(Monat.Tag1)=6,May!Monat.P1UeVM,IF(MONTH(Monat.Tag1)=7,June!Monat.P1UeVM,IF(MONTH(Monat.Tag1)=8,July!Monat.P1UeVM,IF(MONTH(Monat.Tag1)=9,August!Monat.P1UeVM,IF(MONTH(Monat.Tag1)=10,September!Monat.P1UeVM,IF(MONTH(Monat.Tag1)=11,October!Monat.P1UeVM,IF(MONTH(Monat.Tag1)=12,November!Monat.P1UeVM,"")))))))))))),"")</f>
        <v>0</v>
      </c>
      <c r="AM97" s="209"/>
      <c r="AN97" s="246">
        <f t="shared" ref="AN97:AN112" ca="1" si="37">AI97+AL97</f>
        <v>0</v>
      </c>
      <c r="AO97" s="208"/>
      <c r="AP97" s="208"/>
      <c r="AQ97" s="119"/>
    </row>
    <row r="98" spans="1:43" s="38" customFormat="1" ht="15" customHeight="1" x14ac:dyDescent="0.2">
      <c r="A98" s="215" t="str">
        <f t="shared" ca="1" si="36"/>
        <v/>
      </c>
      <c r="B98" s="40"/>
      <c r="C98" s="40"/>
      <c r="D98" s="40"/>
      <c r="E98" s="27"/>
      <c r="F98" s="40"/>
      <c r="G98" s="40"/>
      <c r="H98" s="40"/>
      <c r="I98" s="40"/>
      <c r="J98" s="27"/>
      <c r="K98" s="40"/>
      <c r="L98" s="27"/>
      <c r="M98" s="40"/>
      <c r="N98" s="40"/>
      <c r="O98" s="40"/>
      <c r="P98" s="40"/>
      <c r="Q98" s="27"/>
      <c r="R98" s="40"/>
      <c r="S98" s="27"/>
      <c r="T98" s="27"/>
      <c r="U98" s="40"/>
      <c r="V98" s="40"/>
      <c r="W98" s="40"/>
      <c r="X98" s="27"/>
      <c r="Y98" s="40"/>
      <c r="Z98" s="39"/>
      <c r="AA98" s="40"/>
      <c r="AB98" s="40"/>
      <c r="AC98" s="40"/>
      <c r="AD98" s="40"/>
      <c r="AE98" s="27"/>
      <c r="AF98" s="40"/>
      <c r="AG98" s="205" t="str">
        <f t="shared" ca="1" si="34"/>
        <v/>
      </c>
      <c r="AH98" s="218"/>
      <c r="AI98" s="238">
        <f>SUM(B98:AF98)</f>
        <v>0</v>
      </c>
      <c r="AJ98" s="261"/>
      <c r="AK98" s="224"/>
      <c r="AL98" s="245">
        <f ca="1">IF(EB.Anwendung&lt;&gt;"",IF(MONTH(Monat.Tag1)=1,0,IF(MONTH(Monat.Tag1)=2,January!Monat.P2UeVM,IF(MONTH(Monat.Tag1)=3,February!Monat.P2UeVM,IF(MONTH(Monat.Tag1)=4,March!Monat.P2UeVM,IF(MONTH(Monat.Tag1)=5,April!Monat.P2UeVM,IF(MONTH(Monat.Tag1)=6,May!Monat.P2UeVM,IF(MONTH(Monat.Tag1)=7,June!Monat.P2UeVM,IF(MONTH(Monat.Tag1)=8,July!Monat.P2UeVM,IF(MONTH(Monat.Tag1)=9,August!Monat.P2UeVM,IF(MONTH(Monat.Tag1)=10,September!Monat.P2UeVM,IF(MONTH(Monat.Tag1)=11,October!Monat.P2UeVM,IF(MONTH(Monat.Tag1)=12,November!Monat.P2UeVM,"")))))))))))),"")</f>
        <v>0</v>
      </c>
      <c r="AM98" s="209"/>
      <c r="AN98" s="246">
        <f t="shared" ca="1" si="37"/>
        <v>0</v>
      </c>
      <c r="AO98" s="208"/>
      <c r="AP98" s="208"/>
      <c r="AQ98" s="119"/>
    </row>
    <row r="99" spans="1:43" s="38" customFormat="1" ht="15" customHeight="1" x14ac:dyDescent="0.2">
      <c r="A99" s="215" t="str">
        <f t="shared" ca="1" si="36"/>
        <v/>
      </c>
      <c r="B99" s="40"/>
      <c r="C99" s="40"/>
      <c r="D99" s="40"/>
      <c r="E99" s="27"/>
      <c r="F99" s="40"/>
      <c r="G99" s="40"/>
      <c r="H99" s="40"/>
      <c r="I99" s="40"/>
      <c r="J99" s="27"/>
      <c r="K99" s="40"/>
      <c r="L99" s="27"/>
      <c r="M99" s="40"/>
      <c r="N99" s="40"/>
      <c r="O99" s="40"/>
      <c r="P99" s="40"/>
      <c r="Q99" s="27"/>
      <c r="R99" s="40"/>
      <c r="S99" s="27"/>
      <c r="T99" s="27"/>
      <c r="U99" s="40"/>
      <c r="V99" s="40"/>
      <c r="W99" s="40"/>
      <c r="X99" s="27"/>
      <c r="Y99" s="40"/>
      <c r="Z99" s="39"/>
      <c r="AA99" s="40"/>
      <c r="AB99" s="40"/>
      <c r="AC99" s="40"/>
      <c r="AD99" s="40"/>
      <c r="AE99" s="27"/>
      <c r="AF99" s="40"/>
      <c r="AG99" s="205" t="str">
        <f t="shared" ca="1" si="34"/>
        <v/>
      </c>
      <c r="AH99" s="286"/>
      <c r="AI99" s="238">
        <f>SUM(B99:AF99)</f>
        <v>0</v>
      </c>
      <c r="AJ99" s="261"/>
      <c r="AK99" s="224"/>
      <c r="AL99" s="245">
        <f ca="1">IF(EB.Anwendung&lt;&gt;"",IF(MONTH(Monat.Tag1)=1,0,IF(MONTH(Monat.Tag1)=2,January!Monat.P3UeVM,IF(MONTH(Monat.Tag1)=3,February!Monat.P3UeVM,IF(MONTH(Monat.Tag1)=4,March!Monat.P3UeVM,IF(MONTH(Monat.Tag1)=5,April!Monat.P3UeVM,IF(MONTH(Monat.Tag1)=6,May!Monat.P3UeVM,IF(MONTH(Monat.Tag1)=7,June!Monat.P3UeVM,IF(MONTH(Monat.Tag1)=8,July!Monat.P3UeVM,IF(MONTH(Monat.Tag1)=9,August!Monat.P3UeVM,IF(MONTH(Monat.Tag1)=10,September!Monat.P3UeVM,IF(MONTH(Monat.Tag1)=11,October!Monat.P3UeVM,IF(MONTH(Monat.Tag1)=12,November!Monat.P3UeVM,"")))))))))))),"")</f>
        <v>0</v>
      </c>
      <c r="AM99" s="209"/>
      <c r="AN99" s="246">
        <f t="shared" ca="1" si="37"/>
        <v>0</v>
      </c>
      <c r="AO99" s="208"/>
      <c r="AP99" s="208"/>
      <c r="AQ99" s="119"/>
    </row>
    <row r="100" spans="1:43" s="38" customFormat="1" ht="15" customHeight="1" x14ac:dyDescent="0.2">
      <c r="A100" s="215" t="str">
        <f t="shared" ca="1" si="36"/>
        <v/>
      </c>
      <c r="B100" s="40"/>
      <c r="C100" s="40"/>
      <c r="D100" s="40"/>
      <c r="E100" s="27"/>
      <c r="F100" s="40"/>
      <c r="G100" s="40"/>
      <c r="H100" s="40"/>
      <c r="I100" s="40"/>
      <c r="J100" s="27"/>
      <c r="K100" s="40"/>
      <c r="L100" s="27"/>
      <c r="M100" s="40"/>
      <c r="N100" s="40"/>
      <c r="O100" s="40"/>
      <c r="P100" s="40"/>
      <c r="Q100" s="27"/>
      <c r="R100" s="40"/>
      <c r="S100" s="27"/>
      <c r="T100" s="27"/>
      <c r="U100" s="40"/>
      <c r="V100" s="40"/>
      <c r="W100" s="40"/>
      <c r="X100" s="27"/>
      <c r="Y100" s="40"/>
      <c r="Z100" s="39"/>
      <c r="AA100" s="40"/>
      <c r="AB100" s="40"/>
      <c r="AC100" s="40"/>
      <c r="AD100" s="40"/>
      <c r="AE100" s="27"/>
      <c r="AF100" s="40"/>
      <c r="AG100" s="205" t="str">
        <f t="shared" ca="1" si="34"/>
        <v/>
      </c>
      <c r="AH100" s="228"/>
      <c r="AI100" s="238">
        <f t="shared" ref="AI100:AI112" si="38">SUM(B100:AF100)</f>
        <v>0</v>
      </c>
      <c r="AJ100" s="261"/>
      <c r="AK100" s="224"/>
      <c r="AL100" s="245">
        <f ca="1">IF(EB.Anwendung&lt;&gt;"",IF(MONTH(Monat.Tag1)=1,0,IF(MONTH(Monat.Tag1)=2,January!Monat.P4UeVM,IF(MONTH(Monat.Tag1)=3,February!Monat.P4UeVM,IF(MONTH(Monat.Tag1)=4,March!Monat.P4UeVM,IF(MONTH(Monat.Tag1)=5,April!Monat.P4UeVM,IF(MONTH(Monat.Tag1)=6,May!Monat.P4UeVM,IF(MONTH(Monat.Tag1)=7,June!Monat.P4UeVM,IF(MONTH(Monat.Tag1)=8,July!Monat.P4UeVM,IF(MONTH(Monat.Tag1)=9,August!Monat.P4UeVM,IF(MONTH(Monat.Tag1)=10,September!Monat.P4UeVM,IF(MONTH(Monat.Tag1)=11,October!Monat.P4UeVM,IF(MONTH(Monat.Tag1)=12,November!Monat.P4UeVM,"")))))))))))),"")</f>
        <v>0</v>
      </c>
      <c r="AM100" s="209"/>
      <c r="AN100" s="246">
        <f t="shared" ca="1" si="37"/>
        <v>0</v>
      </c>
      <c r="AO100" s="208"/>
      <c r="AP100" s="208"/>
      <c r="AQ100" s="119"/>
    </row>
    <row r="101" spans="1:43" s="38" customFormat="1" ht="15" customHeight="1" x14ac:dyDescent="0.2">
      <c r="A101" s="215" t="str">
        <f t="shared" ca="1" si="36"/>
        <v/>
      </c>
      <c r="B101" s="40"/>
      <c r="C101" s="40"/>
      <c r="D101" s="40"/>
      <c r="E101" s="27"/>
      <c r="F101" s="40"/>
      <c r="G101" s="40"/>
      <c r="H101" s="40"/>
      <c r="I101" s="40"/>
      <c r="J101" s="27"/>
      <c r="K101" s="40"/>
      <c r="L101" s="27"/>
      <c r="M101" s="40"/>
      <c r="N101" s="40"/>
      <c r="O101" s="40"/>
      <c r="P101" s="40"/>
      <c r="Q101" s="27"/>
      <c r="R101" s="40"/>
      <c r="S101" s="27"/>
      <c r="T101" s="27"/>
      <c r="U101" s="40"/>
      <c r="V101" s="40"/>
      <c r="W101" s="40"/>
      <c r="X101" s="27"/>
      <c r="Y101" s="40"/>
      <c r="Z101" s="39"/>
      <c r="AA101" s="40"/>
      <c r="AB101" s="40"/>
      <c r="AC101" s="40"/>
      <c r="AD101" s="40"/>
      <c r="AE101" s="27"/>
      <c r="AF101" s="40"/>
      <c r="AG101" s="205" t="str">
        <f t="shared" ca="1" si="34"/>
        <v/>
      </c>
      <c r="AH101" s="218"/>
      <c r="AI101" s="238">
        <f t="shared" si="38"/>
        <v>0</v>
      </c>
      <c r="AJ101" s="261"/>
      <c r="AK101" s="224"/>
      <c r="AL101" s="245">
        <f ca="1">IF(EB.Anwendung&lt;&gt;"",IF(MONTH(Monat.Tag1)=1,0,IF(MONTH(Monat.Tag1)=2,January!Monat.P5UeVM,IF(MONTH(Monat.Tag1)=3,February!Monat.P5UeVM,IF(MONTH(Monat.Tag1)=4,March!Monat.P5UeVM,IF(MONTH(Monat.Tag1)=5,April!Monat.P5UeVM,IF(MONTH(Monat.Tag1)=6,May!Monat.P5UeVM,IF(MONTH(Monat.Tag1)=7,June!Monat.P5UeVM,IF(MONTH(Monat.Tag1)=8,July!Monat.P5UeVM,IF(MONTH(Monat.Tag1)=9,August!Monat.P5UeVM,IF(MONTH(Monat.Tag1)=10,September!Monat.P5UeVM,IF(MONTH(Monat.Tag1)=11,October!Monat.P5UeVM,IF(MONTH(Monat.Tag1)=12,November!Monat.P5UeVM,"")))))))))))),"")</f>
        <v>0</v>
      </c>
      <c r="AM101" s="209"/>
      <c r="AN101" s="246">
        <f t="shared" ca="1" si="37"/>
        <v>0</v>
      </c>
      <c r="AO101" s="208"/>
      <c r="AP101" s="208"/>
      <c r="AQ101" s="119"/>
    </row>
    <row r="102" spans="1:43" s="38" customFormat="1" ht="15" hidden="1" customHeight="1" outlineLevel="1" x14ac:dyDescent="0.2">
      <c r="A102" s="215" t="str">
        <f t="shared" ca="1" si="36"/>
        <v/>
      </c>
      <c r="B102" s="40"/>
      <c r="C102" s="40"/>
      <c r="D102" s="40"/>
      <c r="E102" s="27"/>
      <c r="F102" s="40"/>
      <c r="G102" s="40"/>
      <c r="H102" s="40"/>
      <c r="I102" s="40"/>
      <c r="J102" s="27"/>
      <c r="K102" s="40"/>
      <c r="L102" s="27"/>
      <c r="M102" s="40"/>
      <c r="N102" s="40"/>
      <c r="O102" s="40"/>
      <c r="P102" s="40"/>
      <c r="Q102" s="27"/>
      <c r="R102" s="40"/>
      <c r="S102" s="27"/>
      <c r="T102" s="27"/>
      <c r="U102" s="40"/>
      <c r="V102" s="40"/>
      <c r="W102" s="40"/>
      <c r="X102" s="27"/>
      <c r="Y102" s="40"/>
      <c r="Z102" s="39"/>
      <c r="AA102" s="40"/>
      <c r="AB102" s="40"/>
      <c r="AC102" s="40"/>
      <c r="AD102" s="40"/>
      <c r="AE102" s="27"/>
      <c r="AF102" s="40"/>
      <c r="AG102" s="205" t="str">
        <f t="shared" ca="1" si="34"/>
        <v/>
      </c>
      <c r="AH102" s="286"/>
      <c r="AI102" s="238">
        <f t="shared" si="38"/>
        <v>0</v>
      </c>
      <c r="AJ102" s="261"/>
      <c r="AK102" s="224"/>
      <c r="AL102" s="245">
        <f ca="1">IF(EB.Anwendung&lt;&gt;"",IF(MONTH(Monat.Tag1)=1,0,IF(MONTH(Monat.Tag1)=2,January!Monat.P6UeVM,IF(MONTH(Monat.Tag1)=3,February!Monat.P6UeVM,IF(MONTH(Monat.Tag1)=4,March!Monat.P6UeVM,IF(MONTH(Monat.Tag1)=5,April!Monat.P6UeVM,IF(MONTH(Monat.Tag1)=6,May!Monat.P6UeVM,IF(MONTH(Monat.Tag1)=7,June!Monat.P6UeVM,IF(MONTH(Monat.Tag1)=8,July!Monat.P6UeVM,IF(MONTH(Monat.Tag1)=9,August!Monat.P6UeVM,IF(MONTH(Monat.Tag1)=10,September!Monat.P6UeVM,IF(MONTH(Monat.Tag1)=11,October!Monat.P6UeVM,IF(MONTH(Monat.Tag1)=12,November!Monat.P6UeVM,"")))))))))))),"")</f>
        <v>0</v>
      </c>
      <c r="AM102" s="209"/>
      <c r="AN102" s="246">
        <f t="shared" ca="1" si="37"/>
        <v>0</v>
      </c>
      <c r="AO102" s="208"/>
      <c r="AP102" s="208"/>
      <c r="AQ102" s="119"/>
    </row>
    <row r="103" spans="1:43" s="38" customFormat="1" ht="15" hidden="1" customHeight="1" outlineLevel="1" x14ac:dyDescent="0.2">
      <c r="A103" s="215" t="str">
        <f t="shared" ca="1" si="36"/>
        <v/>
      </c>
      <c r="B103" s="40"/>
      <c r="C103" s="40"/>
      <c r="D103" s="40"/>
      <c r="E103" s="27"/>
      <c r="F103" s="40"/>
      <c r="G103" s="40"/>
      <c r="H103" s="40"/>
      <c r="I103" s="40"/>
      <c r="J103" s="27"/>
      <c r="K103" s="40"/>
      <c r="L103" s="27"/>
      <c r="M103" s="40"/>
      <c r="N103" s="40"/>
      <c r="O103" s="40"/>
      <c r="P103" s="40"/>
      <c r="Q103" s="27"/>
      <c r="R103" s="40"/>
      <c r="S103" s="27"/>
      <c r="T103" s="27"/>
      <c r="U103" s="40"/>
      <c r="V103" s="40"/>
      <c r="W103" s="40"/>
      <c r="X103" s="27"/>
      <c r="Y103" s="40"/>
      <c r="Z103" s="39"/>
      <c r="AA103" s="40"/>
      <c r="AB103" s="40"/>
      <c r="AC103" s="40"/>
      <c r="AD103" s="40"/>
      <c r="AE103" s="27"/>
      <c r="AF103" s="40"/>
      <c r="AG103" s="205" t="str">
        <f ca="1">A103</f>
        <v/>
      </c>
      <c r="AH103" s="228"/>
      <c r="AI103" s="238">
        <f>SUM(B103:AF103)</f>
        <v>0</v>
      </c>
      <c r="AJ103" s="261"/>
      <c r="AK103" s="224"/>
      <c r="AL103" s="245">
        <f ca="1">IF(EB.Anwendung&lt;&gt;"",IF(MONTH(Monat.Tag1)=1,0,IF(MONTH(Monat.Tag1)=2,January!Monat.P7UeVM,IF(MONTH(Monat.Tag1)=3,February!Monat.P7UeVM,IF(MONTH(Monat.Tag1)=4,March!Monat.P7UeVM,IF(MONTH(Monat.Tag1)=5,April!Monat.P7UeVM,IF(MONTH(Monat.Tag1)=6,May!Monat.P7UeVM,IF(MONTH(Monat.Tag1)=7,June!Monat.P7UeVM,IF(MONTH(Monat.Tag1)=8,July!Monat.P7UeVM,IF(MONTH(Monat.Tag1)=9,August!Monat.P7UeVM,IF(MONTH(Monat.Tag1)=10,September!Monat.P7UeVM,IF(MONTH(Monat.Tag1)=11,October!Monat.P7UeVM,IF(MONTH(Monat.Tag1)=12,November!Monat.P7UeVM,"")))))))))))),"")</f>
        <v>0</v>
      </c>
      <c r="AM103" s="209"/>
      <c r="AN103" s="246">
        <f t="shared" ca="1" si="37"/>
        <v>0</v>
      </c>
      <c r="AO103" s="208"/>
      <c r="AP103" s="208"/>
      <c r="AQ103" s="119"/>
    </row>
    <row r="104" spans="1:43" s="38" customFormat="1" ht="15" hidden="1" customHeight="1" outlineLevel="1" x14ac:dyDescent="0.2">
      <c r="A104" s="215" t="str">
        <f t="shared" ca="1" si="36"/>
        <v/>
      </c>
      <c r="B104" s="40"/>
      <c r="C104" s="40"/>
      <c r="D104" s="40"/>
      <c r="E104" s="27"/>
      <c r="F104" s="40"/>
      <c r="G104" s="40"/>
      <c r="H104" s="40"/>
      <c r="I104" s="40"/>
      <c r="J104" s="27"/>
      <c r="K104" s="40"/>
      <c r="L104" s="27"/>
      <c r="M104" s="40"/>
      <c r="N104" s="40"/>
      <c r="O104" s="40"/>
      <c r="P104" s="40"/>
      <c r="Q104" s="27"/>
      <c r="R104" s="40"/>
      <c r="S104" s="27"/>
      <c r="T104" s="27"/>
      <c r="U104" s="40"/>
      <c r="V104" s="40"/>
      <c r="W104" s="40"/>
      <c r="X104" s="27"/>
      <c r="Y104" s="40"/>
      <c r="Z104" s="39"/>
      <c r="AA104" s="40"/>
      <c r="AB104" s="40"/>
      <c r="AC104" s="40"/>
      <c r="AD104" s="40"/>
      <c r="AE104" s="27"/>
      <c r="AF104" s="40"/>
      <c r="AG104" s="205" t="str">
        <f t="shared" ca="1" si="34"/>
        <v/>
      </c>
      <c r="AH104" s="233"/>
      <c r="AI104" s="238">
        <f t="shared" si="38"/>
        <v>0</v>
      </c>
      <c r="AJ104" s="261"/>
      <c r="AK104" s="224"/>
      <c r="AL104" s="245">
        <f ca="1">IF(EB.Anwendung&lt;&gt;"",IF(MONTH(Monat.Tag1)=1,0,IF(MONTH(Monat.Tag1)=2,January!Monat.P8UeVM,IF(MONTH(Monat.Tag1)=3,February!Monat.P8UeVM,IF(MONTH(Monat.Tag1)=4,March!Monat.P8UeVM,IF(MONTH(Monat.Tag1)=5,April!Monat.P8UeVM,IF(MONTH(Monat.Tag1)=6,May!Monat.P8UeVM,IF(MONTH(Monat.Tag1)=7,June!Monat.P8UeVM,IF(MONTH(Monat.Tag1)=8,July!Monat.P8UeVM,IF(MONTH(Monat.Tag1)=9,August!Monat.P8UeVM,IF(MONTH(Monat.Tag1)=10,September!Monat.P8UeVM,IF(MONTH(Monat.Tag1)=11,October!Monat.P8UeVM,IF(MONTH(Monat.Tag1)=12,November!Monat.P8UeVM,"")))))))))))),"")</f>
        <v>0</v>
      </c>
      <c r="AM104" s="209"/>
      <c r="AN104" s="246">
        <f t="shared" ca="1" si="37"/>
        <v>0</v>
      </c>
      <c r="AO104" s="208"/>
      <c r="AP104" s="208"/>
      <c r="AQ104" s="119"/>
    </row>
    <row r="105" spans="1:43" s="38" customFormat="1" ht="15" hidden="1" customHeight="1" outlineLevel="1" x14ac:dyDescent="0.2">
      <c r="A105" s="215" t="str">
        <f t="shared" ca="1" si="36"/>
        <v/>
      </c>
      <c r="B105" s="40"/>
      <c r="C105" s="40"/>
      <c r="D105" s="40"/>
      <c r="E105" s="27"/>
      <c r="F105" s="40"/>
      <c r="G105" s="40"/>
      <c r="H105" s="40"/>
      <c r="I105" s="40"/>
      <c r="J105" s="27"/>
      <c r="K105" s="40"/>
      <c r="L105" s="27"/>
      <c r="M105" s="40"/>
      <c r="N105" s="40"/>
      <c r="O105" s="40"/>
      <c r="P105" s="40"/>
      <c r="Q105" s="27"/>
      <c r="R105" s="40"/>
      <c r="S105" s="27"/>
      <c r="T105" s="27"/>
      <c r="U105" s="40"/>
      <c r="V105" s="40"/>
      <c r="W105" s="40"/>
      <c r="X105" s="27"/>
      <c r="Y105" s="40"/>
      <c r="Z105" s="39"/>
      <c r="AA105" s="40"/>
      <c r="AB105" s="40"/>
      <c r="AC105" s="40"/>
      <c r="AD105" s="40"/>
      <c r="AE105" s="27"/>
      <c r="AF105" s="40"/>
      <c r="AG105" s="205" t="str">
        <f t="shared" ca="1" si="34"/>
        <v/>
      </c>
      <c r="AH105" s="218"/>
      <c r="AI105" s="238">
        <f t="shared" si="38"/>
        <v>0</v>
      </c>
      <c r="AJ105" s="261"/>
      <c r="AK105" s="224"/>
      <c r="AL105" s="245">
        <f ca="1">IF(EB.Anwendung&lt;&gt;"",IF(MONTH(Monat.Tag1)=1,0,IF(MONTH(Monat.Tag1)=2,January!Monat.P9UeVM,IF(MONTH(Monat.Tag1)=3,February!Monat.P9UeVM,IF(MONTH(Monat.Tag1)=4,March!Monat.P9UeVM,IF(MONTH(Monat.Tag1)=5,April!Monat.P9UeVM,IF(MONTH(Monat.Tag1)=6,May!Monat.P9UeVM,IF(MONTH(Monat.Tag1)=7,June!Monat.P9UeVM,IF(MONTH(Monat.Tag1)=8,July!Monat.P9UeVM,IF(MONTH(Monat.Tag1)=9,August!Monat.P9UeVM,IF(MONTH(Monat.Tag1)=10,September!Monat.P9UeVM,IF(MONTH(Monat.Tag1)=11,October!Monat.P9UeVM,IF(MONTH(Monat.Tag1)=12,November!Monat.P9UeVM,"")))))))))))),"")</f>
        <v>0</v>
      </c>
      <c r="AM105" s="209"/>
      <c r="AN105" s="246">
        <f t="shared" ca="1" si="37"/>
        <v>0</v>
      </c>
      <c r="AO105" s="208"/>
      <c r="AP105" s="208"/>
      <c r="AQ105" s="119"/>
    </row>
    <row r="106" spans="1:43" s="38" customFormat="1" ht="15" hidden="1" customHeight="1" outlineLevel="1" x14ac:dyDescent="0.2">
      <c r="A106" s="215" t="str">
        <f t="shared" ca="1" si="36"/>
        <v/>
      </c>
      <c r="B106" s="40"/>
      <c r="C106" s="40"/>
      <c r="D106" s="40"/>
      <c r="E106" s="27"/>
      <c r="F106" s="40"/>
      <c r="G106" s="40"/>
      <c r="H106" s="40"/>
      <c r="I106" s="40"/>
      <c r="J106" s="27"/>
      <c r="K106" s="40"/>
      <c r="L106" s="27"/>
      <c r="M106" s="40"/>
      <c r="N106" s="40"/>
      <c r="O106" s="40"/>
      <c r="P106" s="40"/>
      <c r="Q106" s="27"/>
      <c r="R106" s="40"/>
      <c r="S106" s="27"/>
      <c r="T106" s="27"/>
      <c r="U106" s="40"/>
      <c r="V106" s="40"/>
      <c r="W106" s="40"/>
      <c r="X106" s="27"/>
      <c r="Y106" s="40"/>
      <c r="Z106" s="39"/>
      <c r="AA106" s="40"/>
      <c r="AB106" s="40"/>
      <c r="AC106" s="40"/>
      <c r="AD106" s="40"/>
      <c r="AE106" s="27"/>
      <c r="AF106" s="40"/>
      <c r="AG106" s="205" t="str">
        <f t="shared" ca="1" si="34"/>
        <v/>
      </c>
      <c r="AH106" s="218"/>
      <c r="AI106" s="238">
        <f t="shared" si="38"/>
        <v>0</v>
      </c>
      <c r="AJ106" s="261"/>
      <c r="AK106" s="224"/>
      <c r="AL106" s="245">
        <f ca="1">IF(EB.Anwendung&lt;&gt;"",IF(MONTH(Monat.Tag1)=1,0,IF(MONTH(Monat.Tag1)=2,January!Monat.P10UeVM,IF(MONTH(Monat.Tag1)=3,February!Monat.P10UeVM,IF(MONTH(Monat.Tag1)=4,March!Monat.P10UeVM,IF(MONTH(Monat.Tag1)=5,April!Monat.P10UeVM,IF(MONTH(Monat.Tag1)=6,May!Monat.P10UeVM,IF(MONTH(Monat.Tag1)=7,June!Monat.P10UeVM,IF(MONTH(Monat.Tag1)=8,July!Monat.P10UeVM,IF(MONTH(Monat.Tag1)=9,August!Monat.P10UeVM,IF(MONTH(Monat.Tag1)=10,September!Monat.P10UeVM,IF(MONTH(Monat.Tag1)=11,October!Monat.P10UeVM,IF(MONTH(Monat.Tag1)=12,November!Monat.P10UeVM,"")))))))))))),"")</f>
        <v>0</v>
      </c>
      <c r="AM106" s="209"/>
      <c r="AN106" s="246">
        <f t="shared" ca="1" si="37"/>
        <v>0</v>
      </c>
      <c r="AO106" s="208"/>
      <c r="AP106" s="208"/>
      <c r="AQ106" s="119"/>
    </row>
    <row r="107" spans="1:43" s="38" customFormat="1" ht="15" hidden="1" customHeight="1" outlineLevel="1" x14ac:dyDescent="0.2">
      <c r="A107" s="215" t="str">
        <f t="shared" ca="1" si="36"/>
        <v/>
      </c>
      <c r="B107" s="40"/>
      <c r="C107" s="40"/>
      <c r="D107" s="40"/>
      <c r="E107" s="27"/>
      <c r="F107" s="40"/>
      <c r="G107" s="40"/>
      <c r="H107" s="40"/>
      <c r="I107" s="40"/>
      <c r="J107" s="27"/>
      <c r="K107" s="40"/>
      <c r="L107" s="27"/>
      <c r="M107" s="40"/>
      <c r="N107" s="40"/>
      <c r="O107" s="40"/>
      <c r="P107" s="40"/>
      <c r="Q107" s="27"/>
      <c r="R107" s="40"/>
      <c r="S107" s="27"/>
      <c r="T107" s="27"/>
      <c r="U107" s="40"/>
      <c r="V107" s="40"/>
      <c r="W107" s="40"/>
      <c r="X107" s="27"/>
      <c r="Y107" s="40"/>
      <c r="Z107" s="39"/>
      <c r="AA107" s="40"/>
      <c r="AB107" s="40"/>
      <c r="AC107" s="40"/>
      <c r="AD107" s="40"/>
      <c r="AE107" s="27"/>
      <c r="AF107" s="40"/>
      <c r="AG107" s="205" t="str">
        <f ca="1">A107</f>
        <v/>
      </c>
      <c r="AH107" s="233"/>
      <c r="AI107" s="238">
        <f t="shared" si="38"/>
        <v>0</v>
      </c>
      <c r="AJ107" s="261"/>
      <c r="AK107" s="224"/>
      <c r="AL107" s="245">
        <f ca="1">IF(EB.Anwendung&lt;&gt;"",IF(MONTH(Monat.Tag1)=1,0,IF(MONTH(Monat.Tag1)=2,January!Monat.P11UeVM,IF(MONTH(Monat.Tag1)=3,February!Monat.P11UeVM,IF(MONTH(Monat.Tag1)=4,March!Monat.P11UeVM,IF(MONTH(Monat.Tag1)=5,April!Monat.P11UeVM,IF(MONTH(Monat.Tag1)=6,May!Monat.P11UeVM,IF(MONTH(Monat.Tag1)=7,June!Monat.P11UeVM,IF(MONTH(Monat.Tag1)=8,July!Monat.P11UeVM,IF(MONTH(Monat.Tag1)=9,August!Monat.P11UeVM,IF(MONTH(Monat.Tag1)=10,September!Monat.P11UeVM,IF(MONTH(Monat.Tag1)=11,October!Monat.P11UeVM,IF(MONTH(Monat.Tag1)=12,November!Monat.P11UeVM,"")))))))))))),"")</f>
        <v>0</v>
      </c>
      <c r="AM107" s="209"/>
      <c r="AN107" s="246">
        <f t="shared" ca="1" si="37"/>
        <v>0</v>
      </c>
      <c r="AO107" s="287"/>
      <c r="AP107" s="287"/>
      <c r="AQ107" s="119"/>
    </row>
    <row r="108" spans="1:43" s="49" customFormat="1" ht="15" hidden="1" customHeight="1" outlineLevel="1" x14ac:dyDescent="0.2">
      <c r="A108" s="215" t="str">
        <f t="shared" ca="1" si="36"/>
        <v/>
      </c>
      <c r="B108" s="40"/>
      <c r="C108" s="40"/>
      <c r="D108" s="40"/>
      <c r="E108" s="27"/>
      <c r="F108" s="40"/>
      <c r="G108" s="40"/>
      <c r="H108" s="40"/>
      <c r="I108" s="40"/>
      <c r="J108" s="27"/>
      <c r="K108" s="40"/>
      <c r="L108" s="27"/>
      <c r="M108" s="40"/>
      <c r="N108" s="40"/>
      <c r="O108" s="40"/>
      <c r="P108" s="40"/>
      <c r="Q108" s="27"/>
      <c r="R108" s="40"/>
      <c r="S108" s="27"/>
      <c r="T108" s="27"/>
      <c r="U108" s="40"/>
      <c r="V108" s="40"/>
      <c r="W108" s="40"/>
      <c r="X108" s="27"/>
      <c r="Y108" s="40"/>
      <c r="Z108" s="39"/>
      <c r="AA108" s="40"/>
      <c r="AB108" s="40"/>
      <c r="AC108" s="40"/>
      <c r="AD108" s="40"/>
      <c r="AE108" s="27"/>
      <c r="AF108" s="40"/>
      <c r="AG108" s="205" t="str">
        <f t="shared" ca="1" si="34"/>
        <v/>
      </c>
      <c r="AH108" s="233"/>
      <c r="AI108" s="238">
        <f t="shared" si="38"/>
        <v>0</v>
      </c>
      <c r="AJ108" s="261"/>
      <c r="AK108" s="224"/>
      <c r="AL108" s="245">
        <f ca="1">IF(EB.Anwendung&lt;&gt;"",IF(MONTH(Monat.Tag1)=1,0,IF(MONTH(Monat.Tag1)=2,January!Monat.P12UeVM,IF(MONTH(Monat.Tag1)=3,February!Monat.P12UeVM,IF(MONTH(Monat.Tag1)=4,March!Monat.P12UeVM,IF(MONTH(Monat.Tag1)=5,April!Monat.P12UeVM,IF(MONTH(Monat.Tag1)=6,May!Monat.P12UeVM,IF(MONTH(Monat.Tag1)=7,June!Monat.P12UeVM,IF(MONTH(Monat.Tag1)=8,July!Monat.P12UeVM,IF(MONTH(Monat.Tag1)=9,August!Monat.P12UeVM,IF(MONTH(Monat.Tag1)=10,September!Monat.P12UeVM,IF(MONTH(Monat.Tag1)=11,October!Monat.P12UeVM,IF(MONTH(Monat.Tag1)=12,November!Monat.P12UeVM,"")))))))))))),"")</f>
        <v>0</v>
      </c>
      <c r="AM108" s="209"/>
      <c r="AN108" s="246">
        <f t="shared" ca="1" si="37"/>
        <v>0</v>
      </c>
      <c r="AO108" s="287"/>
      <c r="AP108" s="287"/>
      <c r="AQ108" s="288"/>
    </row>
    <row r="109" spans="1:43" s="49" customFormat="1" ht="15" hidden="1" customHeight="1" outlineLevel="1" x14ac:dyDescent="0.2">
      <c r="A109" s="215" t="str">
        <f t="shared" ca="1" si="36"/>
        <v/>
      </c>
      <c r="B109" s="40"/>
      <c r="C109" s="40"/>
      <c r="D109" s="40"/>
      <c r="E109" s="27"/>
      <c r="F109" s="40"/>
      <c r="G109" s="40"/>
      <c r="H109" s="40"/>
      <c r="I109" s="40"/>
      <c r="J109" s="27"/>
      <c r="K109" s="40"/>
      <c r="L109" s="27"/>
      <c r="M109" s="40"/>
      <c r="N109" s="40"/>
      <c r="O109" s="40"/>
      <c r="P109" s="40"/>
      <c r="Q109" s="27"/>
      <c r="R109" s="40"/>
      <c r="S109" s="27"/>
      <c r="T109" s="27"/>
      <c r="U109" s="40"/>
      <c r="V109" s="40"/>
      <c r="W109" s="40"/>
      <c r="X109" s="27"/>
      <c r="Y109" s="40"/>
      <c r="Z109" s="39"/>
      <c r="AA109" s="40"/>
      <c r="AB109" s="40"/>
      <c r="AC109" s="40"/>
      <c r="AD109" s="40"/>
      <c r="AE109" s="27"/>
      <c r="AF109" s="40"/>
      <c r="AG109" s="205" t="str">
        <f t="shared" ca="1" si="34"/>
        <v/>
      </c>
      <c r="AH109" s="218"/>
      <c r="AI109" s="238">
        <f t="shared" si="38"/>
        <v>0</v>
      </c>
      <c r="AJ109" s="261"/>
      <c r="AK109" s="224"/>
      <c r="AL109" s="245">
        <f ca="1">IF(EB.Anwendung&lt;&gt;"",IF(MONTH(Monat.Tag1)=1,0,IF(MONTH(Monat.Tag1)=2,January!Monat.P13UeVM,IF(MONTH(Monat.Tag1)=3,February!Monat.P13UeVM,IF(MONTH(Monat.Tag1)=4,March!Monat.P13UeVM,IF(MONTH(Monat.Tag1)=5,April!Monat.P13UeVM,IF(MONTH(Monat.Tag1)=6,May!Monat.P13UeVM,IF(MONTH(Monat.Tag1)=7,June!Monat.P13UeVM,IF(MONTH(Monat.Tag1)=8,July!Monat.P13UeVM,IF(MONTH(Monat.Tag1)=9,August!Monat.P13UeVM,IF(MONTH(Monat.Tag1)=10,September!Monat.P13UeVM,IF(MONTH(Monat.Tag1)=11,October!Monat.P13UeVM,IF(MONTH(Monat.Tag1)=12,November!Monat.P13UeVM,"")))))))))))),"")</f>
        <v>0</v>
      </c>
      <c r="AM109" s="209"/>
      <c r="AN109" s="246">
        <f t="shared" ca="1" si="37"/>
        <v>0</v>
      </c>
      <c r="AO109" s="287"/>
      <c r="AP109" s="287"/>
      <c r="AQ109" s="288"/>
    </row>
    <row r="110" spans="1:43" ht="15" hidden="1" customHeight="1" outlineLevel="1" x14ac:dyDescent="0.2">
      <c r="A110" s="215" t="str">
        <f t="shared" ca="1" si="36"/>
        <v/>
      </c>
      <c r="B110" s="40"/>
      <c r="C110" s="40"/>
      <c r="D110" s="40"/>
      <c r="E110" s="27"/>
      <c r="F110" s="40"/>
      <c r="G110" s="40"/>
      <c r="H110" s="40"/>
      <c r="I110" s="40"/>
      <c r="J110" s="27"/>
      <c r="K110" s="40"/>
      <c r="L110" s="27"/>
      <c r="M110" s="40"/>
      <c r="N110" s="40"/>
      <c r="O110" s="40"/>
      <c r="P110" s="40"/>
      <c r="Q110" s="27"/>
      <c r="R110" s="40"/>
      <c r="S110" s="27"/>
      <c r="T110" s="27"/>
      <c r="U110" s="40"/>
      <c r="V110" s="40"/>
      <c r="W110" s="40"/>
      <c r="X110" s="27"/>
      <c r="Y110" s="40"/>
      <c r="Z110" s="39"/>
      <c r="AA110" s="40"/>
      <c r="AB110" s="40"/>
      <c r="AC110" s="40"/>
      <c r="AD110" s="40"/>
      <c r="AE110" s="27"/>
      <c r="AF110" s="40"/>
      <c r="AG110" s="205" t="str">
        <f t="shared" ca="1" si="34"/>
        <v/>
      </c>
      <c r="AH110" s="218"/>
      <c r="AI110" s="238">
        <f t="shared" si="38"/>
        <v>0</v>
      </c>
      <c r="AJ110" s="261"/>
      <c r="AK110" s="224"/>
      <c r="AL110" s="245">
        <f ca="1">IF(EB.Anwendung&lt;&gt;"",IF(MONTH(Monat.Tag1)=1,0,IF(MONTH(Monat.Tag1)=2,January!Monat.P14UeVM,IF(MONTH(Monat.Tag1)=3,February!Monat.P14UeVM,IF(MONTH(Monat.Tag1)=4,March!Monat.P14UeVM,IF(MONTH(Monat.Tag1)=5,April!Monat.P14UeVM,IF(MONTH(Monat.Tag1)=6,May!Monat.P14UeVM,IF(MONTH(Monat.Tag1)=7,June!Monat.P14UeVM,IF(MONTH(Monat.Tag1)=8,July!Monat.P14UeVM,IF(MONTH(Monat.Tag1)=9,August!Monat.P14UeVM,IF(MONTH(Monat.Tag1)=10,September!Monat.P14UeVM,IF(MONTH(Monat.Tag1)=11,October!Monat.P14UeVM,IF(MONTH(Monat.Tag1)=12,November!Monat.P14UeVM,"")))))))))))),"")</f>
        <v>0</v>
      </c>
      <c r="AM110" s="209"/>
      <c r="AN110" s="246">
        <f t="shared" ca="1" si="37"/>
        <v>0</v>
      </c>
      <c r="AO110" s="287"/>
      <c r="AP110" s="287"/>
      <c r="AQ110" s="123"/>
    </row>
    <row r="111" spans="1:43" ht="15" hidden="1" customHeight="1" outlineLevel="1" x14ac:dyDescent="0.2">
      <c r="A111" s="215" t="str">
        <f t="shared" ca="1" si="36"/>
        <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7"/>
      <c r="AA111" s="40"/>
      <c r="AB111" s="40"/>
      <c r="AC111" s="40"/>
      <c r="AD111" s="40"/>
      <c r="AE111" s="40"/>
      <c r="AF111" s="40"/>
      <c r="AG111" s="205" t="str">
        <f t="shared" ca="1" si="34"/>
        <v/>
      </c>
      <c r="AH111" s="218"/>
      <c r="AI111" s="238">
        <f t="shared" si="38"/>
        <v>0</v>
      </c>
      <c r="AJ111" s="261"/>
      <c r="AK111" s="224"/>
      <c r="AL111" s="245">
        <f ca="1">IF(EB.Anwendung&lt;&gt;"",IF(MONTH(Monat.Tag1)=1,0,IF(MONTH(Monat.Tag1)=2,January!Monat.P15UeVM,IF(MONTH(Monat.Tag1)=3,February!Monat.P15UeVM,IF(MONTH(Monat.Tag1)=4,March!Monat.P15UeVM,IF(MONTH(Monat.Tag1)=5,April!Monat.P15UeVM,IF(MONTH(Monat.Tag1)=6,May!Monat.P15UeVM,IF(MONTH(Monat.Tag1)=7,June!Monat.P15UeVM,IF(MONTH(Monat.Tag1)=8,July!Monat.P15UeVM,IF(MONTH(Monat.Tag1)=9,August!Monat.P15UeVM,IF(MONTH(Monat.Tag1)=10,September!Monat.P15UeVM,IF(MONTH(Monat.Tag1)=11,October!Monat.P15UeVM,IF(MONTH(Monat.Tag1)=12,November!Monat.P15UeVM,"")))))))))))),"")</f>
        <v>0</v>
      </c>
      <c r="AM111" s="209"/>
      <c r="AN111" s="246">
        <f t="shared" ca="1" si="37"/>
        <v>0</v>
      </c>
      <c r="AO111" s="287"/>
      <c r="AP111" s="287"/>
      <c r="AQ111" s="123"/>
    </row>
    <row r="112" spans="1:43" ht="15" customHeight="1" collapsed="1" x14ac:dyDescent="0.2">
      <c r="A112" s="215" t="s">
        <v>168</v>
      </c>
      <c r="B112" s="236">
        <f>SUM(B97:B111)</f>
        <v>0</v>
      </c>
      <c r="C112" s="236">
        <f t="shared" ref="C112:AF112" si="39">SUM(C97:C111)</f>
        <v>0</v>
      </c>
      <c r="D112" s="236">
        <f t="shared" si="39"/>
        <v>0</v>
      </c>
      <c r="E112" s="236">
        <f t="shared" si="39"/>
        <v>0</v>
      </c>
      <c r="F112" s="236">
        <f t="shared" si="39"/>
        <v>0</v>
      </c>
      <c r="G112" s="236">
        <f t="shared" si="39"/>
        <v>0</v>
      </c>
      <c r="H112" s="236">
        <f t="shared" si="39"/>
        <v>0</v>
      </c>
      <c r="I112" s="236">
        <f t="shared" si="39"/>
        <v>0</v>
      </c>
      <c r="J112" s="236">
        <f t="shared" si="39"/>
        <v>0</v>
      </c>
      <c r="K112" s="236">
        <f t="shared" si="39"/>
        <v>0</v>
      </c>
      <c r="L112" s="236">
        <f t="shared" si="39"/>
        <v>0</v>
      </c>
      <c r="M112" s="236">
        <f t="shared" si="39"/>
        <v>0</v>
      </c>
      <c r="N112" s="236">
        <f t="shared" si="39"/>
        <v>0</v>
      </c>
      <c r="O112" s="236">
        <f t="shared" si="39"/>
        <v>0</v>
      </c>
      <c r="P112" s="236">
        <f t="shared" si="39"/>
        <v>0</v>
      </c>
      <c r="Q112" s="236">
        <f t="shared" si="39"/>
        <v>0</v>
      </c>
      <c r="R112" s="236">
        <f t="shared" si="39"/>
        <v>0</v>
      </c>
      <c r="S112" s="236">
        <f t="shared" si="39"/>
        <v>0</v>
      </c>
      <c r="T112" s="236">
        <f t="shared" si="39"/>
        <v>0</v>
      </c>
      <c r="U112" s="236">
        <f t="shared" si="39"/>
        <v>0</v>
      </c>
      <c r="V112" s="236">
        <f t="shared" si="39"/>
        <v>0</v>
      </c>
      <c r="W112" s="236">
        <f t="shared" si="39"/>
        <v>0</v>
      </c>
      <c r="X112" s="236">
        <f t="shared" si="39"/>
        <v>0</v>
      </c>
      <c r="Y112" s="236">
        <f t="shared" si="39"/>
        <v>0</v>
      </c>
      <c r="Z112" s="236">
        <f t="shared" si="39"/>
        <v>0</v>
      </c>
      <c r="AA112" s="236">
        <f t="shared" si="39"/>
        <v>0</v>
      </c>
      <c r="AB112" s="236">
        <f t="shared" si="39"/>
        <v>0</v>
      </c>
      <c r="AC112" s="236">
        <f t="shared" si="39"/>
        <v>0</v>
      </c>
      <c r="AD112" s="236">
        <f t="shared" si="39"/>
        <v>0</v>
      </c>
      <c r="AE112" s="236">
        <f t="shared" si="39"/>
        <v>0</v>
      </c>
      <c r="AF112" s="236">
        <f t="shared" si="39"/>
        <v>0</v>
      </c>
      <c r="AG112" s="217" t="str">
        <f t="shared" si="34"/>
        <v>Hours worked for projects</v>
      </c>
      <c r="AH112" s="218"/>
      <c r="AI112" s="238">
        <f t="shared" si="38"/>
        <v>0</v>
      </c>
      <c r="AJ112" s="261"/>
      <c r="AK112" s="224"/>
      <c r="AL112" s="245">
        <f ca="1">IF(EB.Anwendung&lt;&gt;"",IF(MONTH(Monat.Tag1)=1,0,IF(MONTH(Monat.Tag1)=2,January!Monat.PTotalUeVM,IF(MONTH(Monat.Tag1)=3,February!Monat.PTotalUeVM,IF(MONTH(Monat.Tag1)=4,March!Monat.PTotalUeVM,IF(MONTH(Monat.Tag1)=5,April!Monat.PTotalUeVM,IF(MONTH(Monat.Tag1)=6,May!Monat.PTotalUeVM,IF(MONTH(Monat.Tag1)=7,June!Monat.PTotalUeVM,IF(MONTH(Monat.Tag1)=8,July!Monat.PTotalUeVM,IF(MONTH(Monat.Tag1)=9,August!Monat.PTotalUeVM,IF(MONTH(Monat.Tag1)=10,September!Monat.PTotalUeVM,IF(MONTH(Monat.Tag1)=11,October!Monat.PTotalUeVM,IF(MONTH(Monat.Tag1)=12,November!Monat.PTotalUeVM,"")))))))))))),"")</f>
        <v>0</v>
      </c>
      <c r="AM112" s="209"/>
      <c r="AN112" s="246">
        <f t="shared" ca="1" si="37"/>
        <v>0</v>
      </c>
      <c r="AO112" s="289"/>
      <c r="AP112" s="289"/>
      <c r="AQ112" s="123"/>
    </row>
    <row r="113" spans="1:43" s="38" customFormat="1" ht="11.25" customHeight="1" x14ac:dyDescent="0.2">
      <c r="A113" s="290"/>
      <c r="B113" s="226"/>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91"/>
      <c r="AH113" s="286"/>
      <c r="AI113" s="226"/>
      <c r="AJ113" s="292"/>
      <c r="AK113" s="226"/>
      <c r="AL113" s="226"/>
      <c r="AM113" s="226"/>
      <c r="AN113" s="130"/>
      <c r="AO113" s="226"/>
      <c r="AP113" s="226"/>
      <c r="AQ113" s="119"/>
    </row>
    <row r="114" spans="1:43" s="38" customFormat="1" ht="15" hidden="1" customHeight="1" outlineLevel="1" x14ac:dyDescent="0.2">
      <c r="A114" s="215" t="s">
        <v>225</v>
      </c>
      <c r="B114" s="241">
        <f t="shared" ref="B114:AF114" si="40">ROUND(((B23+B45+B91)-SUMPRODUCT((B97:B111)*(EB.Projektart.Bereich=6)))*1440,0)/1440</f>
        <v>0</v>
      </c>
      <c r="C114" s="241">
        <f t="shared" si="40"/>
        <v>0</v>
      </c>
      <c r="D114" s="241">
        <f t="shared" si="40"/>
        <v>0</v>
      </c>
      <c r="E114" s="241">
        <f t="shared" si="40"/>
        <v>0</v>
      </c>
      <c r="F114" s="241">
        <f t="shared" si="40"/>
        <v>0</v>
      </c>
      <c r="G114" s="241">
        <f t="shared" si="40"/>
        <v>0</v>
      </c>
      <c r="H114" s="241">
        <f t="shared" si="40"/>
        <v>0</v>
      </c>
      <c r="I114" s="241">
        <f t="shared" si="40"/>
        <v>0</v>
      </c>
      <c r="J114" s="241">
        <f t="shared" si="40"/>
        <v>0</v>
      </c>
      <c r="K114" s="241">
        <f t="shared" si="40"/>
        <v>0</v>
      </c>
      <c r="L114" s="241">
        <f t="shared" si="40"/>
        <v>0</v>
      </c>
      <c r="M114" s="241">
        <f t="shared" si="40"/>
        <v>0</v>
      </c>
      <c r="N114" s="241">
        <f t="shared" si="40"/>
        <v>0</v>
      </c>
      <c r="O114" s="241">
        <f t="shared" si="40"/>
        <v>0</v>
      </c>
      <c r="P114" s="241">
        <f t="shared" si="40"/>
        <v>0</v>
      </c>
      <c r="Q114" s="241">
        <f t="shared" si="40"/>
        <v>0</v>
      </c>
      <c r="R114" s="241">
        <f t="shared" si="40"/>
        <v>0</v>
      </c>
      <c r="S114" s="241">
        <f t="shared" si="40"/>
        <v>0</v>
      </c>
      <c r="T114" s="241">
        <f t="shared" si="40"/>
        <v>0</v>
      </c>
      <c r="U114" s="241">
        <f t="shared" si="40"/>
        <v>0</v>
      </c>
      <c r="V114" s="241">
        <f t="shared" si="40"/>
        <v>0</v>
      </c>
      <c r="W114" s="241">
        <f t="shared" si="40"/>
        <v>0</v>
      </c>
      <c r="X114" s="241">
        <f t="shared" si="40"/>
        <v>0</v>
      </c>
      <c r="Y114" s="241">
        <f t="shared" si="40"/>
        <v>0</v>
      </c>
      <c r="Z114" s="241">
        <f t="shared" si="40"/>
        <v>0</v>
      </c>
      <c r="AA114" s="241">
        <f t="shared" si="40"/>
        <v>0</v>
      </c>
      <c r="AB114" s="241">
        <f t="shared" si="40"/>
        <v>0</v>
      </c>
      <c r="AC114" s="241">
        <f t="shared" si="40"/>
        <v>0</v>
      </c>
      <c r="AD114" s="241">
        <f t="shared" si="40"/>
        <v>0</v>
      </c>
      <c r="AE114" s="241">
        <f t="shared" si="40"/>
        <v>0</v>
      </c>
      <c r="AF114" s="241">
        <f t="shared" si="40"/>
        <v>0</v>
      </c>
      <c r="AG114" s="217" t="str">
        <f t="shared" ref="AG114" si="41">A114</f>
        <v>Difference WH-Project type 6</v>
      </c>
      <c r="AH114" s="228"/>
      <c r="AI114" s="238">
        <f>SUM(B114:AF114)</f>
        <v>0</v>
      </c>
      <c r="AJ114" s="261"/>
      <c r="AK114" s="262"/>
      <c r="AL114" s="245">
        <f ca="1">IF(EB.Anwendung&lt;&gt;"",IF(MONTH(Monat.Tag1)=1,0,IF(MONTH(Monat.Tag1)=2,January!Monat.PDiffUeVM,IF(MONTH(Monat.Tag1)=3,February!Monat.PDiffUeVM,IF(MONTH(Monat.Tag1)=4,March!Monat.PDiffUeVM,IF(MONTH(Monat.Tag1)=5,April!Monat.PDiffUeVM,IF(MONTH(Monat.Tag1)=6,May!Monat.PDiffUeVM,IF(MONTH(Monat.Tag1)=7,June!Monat.PDiffUeVM,IF(MONTH(Monat.Tag1)=8,July!Monat.PDiffUeVM,IF(MONTH(Monat.Tag1)=9,August!Monat.PDiffUeVM,IF(MONTH(Monat.Tag1)=10,September!Monat.PDiffUeVM,IF(MONTH(Monat.Tag1)=11,October!Monat.PDiffUeVM,IF(MONTH(Monat.Tag1)=12,November!Monat.PDiffUeVM,"")))))))))))),"")</f>
        <v>0</v>
      </c>
      <c r="AM114" s="262"/>
      <c r="AN114" s="246">
        <f ca="1">AI114+AL114</f>
        <v>0</v>
      </c>
      <c r="AO114" s="262"/>
      <c r="AP114" s="262"/>
      <c r="AQ114" s="119"/>
    </row>
    <row r="115" spans="1:43" ht="11.25" hidden="1" customHeight="1" outlineLevel="1" x14ac:dyDescent="0.2">
      <c r="A115" s="123"/>
      <c r="B115" s="293"/>
      <c r="C115" s="293"/>
      <c r="D115" s="293"/>
      <c r="E115" s="293"/>
      <c r="F115" s="293"/>
      <c r="G115" s="293"/>
      <c r="H115" s="293"/>
      <c r="I115" s="293"/>
      <c r="J115" s="294"/>
      <c r="K115" s="293"/>
      <c r="L115" s="293"/>
      <c r="M115" s="293"/>
      <c r="N115" s="293"/>
      <c r="O115" s="293"/>
      <c r="P115" s="293"/>
      <c r="Q115" s="293"/>
      <c r="R115" s="293"/>
      <c r="S115" s="293"/>
      <c r="T115" s="293"/>
      <c r="U115" s="293"/>
      <c r="V115" s="293"/>
      <c r="W115" s="293"/>
      <c r="X115" s="293"/>
      <c r="Y115" s="293"/>
      <c r="Z115" s="293"/>
      <c r="AA115" s="293"/>
      <c r="AB115" s="293"/>
      <c r="AC115" s="293"/>
      <c r="AD115" s="293"/>
      <c r="AE115" s="293"/>
      <c r="AF115" s="293"/>
      <c r="AG115" s="295"/>
      <c r="AH115" s="296"/>
      <c r="AI115" s="123"/>
      <c r="AJ115" s="123"/>
      <c r="AK115" s="123"/>
      <c r="AL115" s="123"/>
      <c r="AM115" s="123"/>
      <c r="AN115" s="297"/>
      <c r="AO115" s="123"/>
      <c r="AP115" s="123"/>
      <c r="AQ115" s="123"/>
    </row>
    <row r="116" spans="1:43" ht="11.25" customHeight="1" collapsed="1" x14ac:dyDescent="0.2">
      <c r="A116" s="123"/>
      <c r="B116" s="293"/>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293"/>
      <c r="AA116" s="293"/>
      <c r="AB116" s="293"/>
      <c r="AC116" s="293"/>
      <c r="AD116" s="293"/>
      <c r="AE116" s="293"/>
      <c r="AF116" s="293"/>
      <c r="AG116" s="295"/>
      <c r="AH116" s="296"/>
      <c r="AI116" s="123"/>
      <c r="AJ116" s="123"/>
      <c r="AK116" s="123"/>
      <c r="AL116" s="123"/>
      <c r="AM116" s="123"/>
      <c r="AN116" s="297"/>
      <c r="AO116" s="123"/>
      <c r="AP116" s="123"/>
      <c r="AQ116" s="123"/>
    </row>
    <row r="117" spans="1:43" ht="12" customHeight="1" x14ac:dyDescent="0.2">
      <c r="A117" s="123"/>
      <c r="B117" s="490" t="s">
        <v>226</v>
      </c>
      <c r="C117" s="490"/>
      <c r="D117" s="490"/>
      <c r="E117" s="490"/>
      <c r="F117" s="490"/>
      <c r="G117" s="490"/>
      <c r="H117" s="490"/>
      <c r="I117" s="490"/>
      <c r="J117" s="490"/>
      <c r="K117" s="490"/>
      <c r="L117" s="490"/>
      <c r="M117" s="490"/>
      <c r="N117" s="490"/>
      <c r="O117" s="490"/>
      <c r="P117" s="490"/>
      <c r="Q117" s="490"/>
      <c r="R117" s="298"/>
      <c r="S117" s="298"/>
      <c r="T117" s="298"/>
      <c r="U117" s="298"/>
      <c r="V117" s="298"/>
      <c r="W117" s="298"/>
      <c r="X117" s="298"/>
      <c r="Y117" s="298"/>
      <c r="Z117" s="298"/>
      <c r="AA117" s="298"/>
      <c r="AB117" s="298"/>
      <c r="AC117" s="298"/>
      <c r="AD117" s="298"/>
      <c r="AE117" s="298"/>
      <c r="AF117" s="298"/>
      <c r="AG117" s="299"/>
      <c r="AH117" s="300"/>
      <c r="AI117" s="298"/>
      <c r="AJ117" s="298"/>
      <c r="AK117" s="298"/>
      <c r="AL117" s="298"/>
      <c r="AM117" s="298"/>
      <c r="AN117" s="301"/>
      <c r="AO117" s="288"/>
      <c r="AP117" s="288"/>
      <c r="AQ117" s="123"/>
    </row>
    <row r="118" spans="1:43" ht="11.25" customHeight="1" x14ac:dyDescent="0.2">
      <c r="A118" s="302"/>
      <c r="B118" s="302"/>
      <c r="C118" s="302"/>
      <c r="D118" s="302"/>
      <c r="E118" s="302"/>
      <c r="F118" s="302"/>
      <c r="G118" s="302"/>
      <c r="H118" s="302"/>
      <c r="I118" s="302"/>
      <c r="J118" s="302"/>
      <c r="K118" s="302"/>
      <c r="L118" s="302"/>
      <c r="M118" s="298"/>
      <c r="N118" s="298"/>
      <c r="O118" s="298"/>
      <c r="P118" s="298"/>
      <c r="Q118" s="298"/>
      <c r="R118" s="298"/>
      <c r="S118" s="298"/>
      <c r="T118" s="298"/>
      <c r="U118" s="298"/>
      <c r="V118" s="298"/>
      <c r="W118" s="298"/>
      <c r="X118" s="298"/>
      <c r="Y118" s="298"/>
      <c r="Z118" s="298"/>
      <c r="AA118" s="298"/>
      <c r="AB118" s="298"/>
      <c r="AC118" s="298"/>
      <c r="AD118" s="298"/>
      <c r="AE118" s="298"/>
      <c r="AF118" s="298"/>
      <c r="AG118" s="298"/>
      <c r="AH118" s="298"/>
      <c r="AI118" s="298"/>
      <c r="AJ118" s="298"/>
      <c r="AK118" s="298"/>
      <c r="AL118" s="298"/>
      <c r="AM118" s="298"/>
      <c r="AN118" s="298"/>
      <c r="AO118" s="298"/>
      <c r="AP118" s="298"/>
      <c r="AQ118" s="123"/>
    </row>
    <row r="119" spans="1:43" ht="39" customHeight="1" x14ac:dyDescent="0.2">
      <c r="A119" s="135" t="s">
        <v>227</v>
      </c>
      <c r="B119" s="491"/>
      <c r="C119" s="491"/>
      <c r="D119" s="491"/>
      <c r="E119" s="491"/>
      <c r="F119" s="491"/>
      <c r="G119" s="491"/>
      <c r="H119" s="491"/>
      <c r="I119" s="491"/>
      <c r="J119" s="491"/>
      <c r="K119" s="491"/>
      <c r="L119" s="491"/>
      <c r="M119" s="491"/>
      <c r="N119" s="491"/>
      <c r="O119" s="491"/>
      <c r="P119" s="491"/>
      <c r="Q119" s="491"/>
      <c r="R119" s="298"/>
      <c r="S119" s="298"/>
      <c r="T119" s="298"/>
      <c r="U119" s="298"/>
      <c r="V119" s="298"/>
      <c r="W119" s="298"/>
      <c r="X119" s="298"/>
      <c r="Y119" s="492"/>
      <c r="Z119" s="492"/>
      <c r="AA119" s="492"/>
      <c r="AB119" s="492"/>
      <c r="AC119" s="492"/>
      <c r="AD119" s="492"/>
      <c r="AE119" s="492"/>
      <c r="AF119" s="492"/>
      <c r="AG119" s="494" t="str">
        <f ca="1">IF(AG67&lt;&gt;Monat.KomAZText,AG67 &amp; CHAR(10),"") &amp;
IF(AG84&lt;&gt;Monat.FerienText,AG84,"")</f>
        <v/>
      </c>
      <c r="AH119" s="494"/>
      <c r="AI119" s="494"/>
      <c r="AJ119" s="494"/>
      <c r="AK119" s="494"/>
      <c r="AL119" s="494"/>
      <c r="AM119" s="494"/>
      <c r="AN119" s="494"/>
      <c r="AO119" s="494"/>
      <c r="AP119" s="494"/>
      <c r="AQ119" s="123"/>
    </row>
    <row r="120" spans="1:43" ht="12" customHeight="1" x14ac:dyDescent="0.2">
      <c r="A120" s="442" t="s">
        <v>228</v>
      </c>
      <c r="B120" s="495"/>
      <c r="C120" s="495"/>
      <c r="D120" s="495"/>
      <c r="E120" s="495"/>
      <c r="F120" s="495"/>
      <c r="G120" s="495"/>
      <c r="H120" s="495"/>
      <c r="I120" s="495"/>
      <c r="J120" s="495"/>
      <c r="K120" s="495"/>
      <c r="L120" s="495"/>
      <c r="M120" s="495"/>
      <c r="N120" s="495"/>
      <c r="O120" s="495"/>
      <c r="P120" s="495"/>
      <c r="Q120" s="495"/>
      <c r="R120" s="298"/>
      <c r="S120" s="298"/>
      <c r="T120" s="496" t="s">
        <v>234</v>
      </c>
      <c r="U120" s="496"/>
      <c r="V120" s="496"/>
      <c r="W120" s="496"/>
      <c r="X120" s="496"/>
      <c r="Y120" s="493"/>
      <c r="Z120" s="493"/>
      <c r="AA120" s="493"/>
      <c r="AB120" s="493"/>
      <c r="AC120" s="493"/>
      <c r="AD120" s="493"/>
      <c r="AE120" s="493"/>
      <c r="AF120" s="493"/>
      <c r="AG120" s="494"/>
      <c r="AH120" s="494"/>
      <c r="AI120" s="494"/>
      <c r="AJ120" s="494"/>
      <c r="AK120" s="494"/>
      <c r="AL120" s="494"/>
      <c r="AM120" s="494"/>
      <c r="AN120" s="494"/>
      <c r="AO120" s="494"/>
      <c r="AP120" s="494"/>
      <c r="AQ120" s="123"/>
    </row>
    <row r="121" spans="1:43" ht="11.25" customHeight="1" x14ac:dyDescent="0.2">
      <c r="A121" s="304"/>
      <c r="B121" s="305"/>
      <c r="C121" s="305"/>
      <c r="D121" s="305"/>
      <c r="E121" s="305"/>
      <c r="F121" s="305"/>
      <c r="G121" s="305"/>
      <c r="H121" s="305"/>
      <c r="I121" s="305"/>
      <c r="J121" s="305"/>
      <c r="K121" s="305"/>
      <c r="L121" s="305"/>
      <c r="M121" s="293"/>
      <c r="N121" s="293"/>
      <c r="O121" s="293"/>
      <c r="P121" s="293"/>
      <c r="Q121" s="293"/>
      <c r="R121" s="293"/>
      <c r="S121" s="298"/>
      <c r="T121" s="293"/>
      <c r="U121" s="293"/>
      <c r="V121" s="293"/>
      <c r="W121" s="293"/>
      <c r="X121" s="293"/>
      <c r="Y121" s="293"/>
      <c r="Z121" s="293"/>
      <c r="AA121" s="293"/>
      <c r="AB121" s="293"/>
      <c r="AC121" s="293"/>
      <c r="AD121" s="293"/>
      <c r="AE121" s="293"/>
      <c r="AF121" s="293"/>
      <c r="AG121" s="295"/>
      <c r="AH121" s="296"/>
      <c r="AI121" s="123"/>
      <c r="AJ121" s="123"/>
      <c r="AK121" s="123"/>
      <c r="AL121" s="123"/>
      <c r="AM121" s="123"/>
      <c r="AN121" s="297"/>
      <c r="AO121" s="123"/>
      <c r="AP121" s="123"/>
      <c r="AQ121" s="123"/>
    </row>
    <row r="122" spans="1:43" ht="12" customHeight="1" x14ac:dyDescent="0.2">
      <c r="A122" s="123"/>
      <c r="B122" s="482" t="s">
        <v>91</v>
      </c>
      <c r="C122" s="482"/>
      <c r="D122" s="482"/>
      <c r="E122" s="482"/>
      <c r="F122" s="482"/>
      <c r="G122" s="482"/>
      <c r="H122" s="482"/>
      <c r="I122" s="482"/>
      <c r="J122" s="482"/>
      <c r="K122" s="482"/>
      <c r="L122" s="482"/>
      <c r="M122" s="482"/>
      <c r="N122" s="482"/>
      <c r="O122" s="482"/>
      <c r="P122" s="482"/>
      <c r="Q122" s="482"/>
      <c r="R122" s="293"/>
      <c r="S122" s="293"/>
      <c r="T122" s="293"/>
      <c r="U122" s="293"/>
      <c r="V122" s="293"/>
      <c r="W122" s="293"/>
      <c r="X122" s="293"/>
      <c r="Y122" s="293"/>
      <c r="Z122" s="293"/>
      <c r="AA122" s="293"/>
      <c r="AB122" s="293"/>
      <c r="AC122" s="293"/>
      <c r="AD122" s="293"/>
      <c r="AE122" s="293"/>
      <c r="AF122" s="293"/>
      <c r="AG122" s="295"/>
      <c r="AH122" s="296"/>
      <c r="AI122" s="123"/>
      <c r="AJ122" s="123"/>
      <c r="AK122" s="123"/>
      <c r="AL122" s="123"/>
      <c r="AM122" s="123"/>
      <c r="AN122" s="297"/>
      <c r="AO122" s="123"/>
      <c r="AP122" s="123"/>
      <c r="AQ122" s="123"/>
    </row>
    <row r="123" spans="1:43" ht="11.25" customHeight="1" x14ac:dyDescent="0.2">
      <c r="A123" s="123"/>
      <c r="B123" s="293"/>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293"/>
      <c r="Z123" s="293"/>
      <c r="AA123" s="293"/>
      <c r="AB123" s="293"/>
      <c r="AC123" s="293"/>
      <c r="AD123" s="293"/>
      <c r="AE123" s="293"/>
      <c r="AF123" s="293"/>
      <c r="AG123" s="295"/>
      <c r="AH123" s="296"/>
      <c r="AI123" s="123"/>
      <c r="AJ123" s="123"/>
      <c r="AK123" s="123"/>
      <c r="AL123" s="123"/>
      <c r="AM123" s="123"/>
      <c r="AN123" s="297"/>
      <c r="AO123" s="123"/>
      <c r="AP123" s="123"/>
      <c r="AQ123" s="123"/>
    </row>
    <row r="124" spans="1:43" ht="11.25" customHeight="1" x14ac:dyDescent="0.2">
      <c r="A124" s="298"/>
      <c r="B124" s="298"/>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c r="AA124" s="298"/>
      <c r="AB124" s="298"/>
      <c r="AC124" s="298"/>
      <c r="AD124" s="298"/>
      <c r="AE124" s="298"/>
      <c r="AF124" s="298"/>
      <c r="AG124" s="298"/>
      <c r="AH124" s="298"/>
      <c r="AI124" s="298"/>
      <c r="AJ124" s="298"/>
      <c r="AK124" s="298"/>
      <c r="AL124" s="298"/>
      <c r="AM124" s="298"/>
      <c r="AN124" s="298"/>
      <c r="AO124" s="298"/>
      <c r="AP124" s="298"/>
      <c r="AQ124" s="123"/>
    </row>
    <row r="125" spans="1:43" x14ac:dyDescent="0.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row>
    <row r="126" spans="1:43"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row>
    <row r="127" spans="1:43"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row>
    <row r="128" spans="1:43" x14ac:dyDescent="0.2">
      <c r="AG128" s="50"/>
      <c r="AH128" s="50"/>
      <c r="AN128" s="50"/>
    </row>
    <row r="129" spans="33:40" x14ac:dyDescent="0.2">
      <c r="AG129" s="50"/>
      <c r="AH129" s="50"/>
      <c r="AN129" s="50"/>
    </row>
    <row r="130" spans="33:40" x14ac:dyDescent="0.2">
      <c r="AG130" s="50"/>
      <c r="AH130" s="50"/>
      <c r="AN130" s="50"/>
    </row>
    <row r="131" spans="33:40" x14ac:dyDescent="0.2">
      <c r="AG131" s="50"/>
      <c r="AH131" s="50"/>
      <c r="AN131" s="50"/>
    </row>
    <row r="132" spans="33:40" x14ac:dyDescent="0.2">
      <c r="AG132" s="50"/>
      <c r="AH132" s="50"/>
      <c r="AN132" s="50"/>
    </row>
    <row r="133" spans="33:40" x14ac:dyDescent="0.2">
      <c r="AG133" s="50"/>
      <c r="AH133" s="50"/>
      <c r="AN133" s="50"/>
    </row>
    <row r="134" spans="33:40" x14ac:dyDescent="0.2">
      <c r="AG134" s="50"/>
      <c r="AH134" s="50"/>
      <c r="AN134" s="50"/>
    </row>
    <row r="135" spans="33:40" x14ac:dyDescent="0.2">
      <c r="AG135" s="50"/>
      <c r="AH135" s="50"/>
      <c r="AN135" s="50"/>
    </row>
    <row r="136" spans="33:40" x14ac:dyDescent="0.2">
      <c r="AG136" s="50"/>
      <c r="AH136" s="50"/>
      <c r="AN136" s="50"/>
    </row>
    <row r="137" spans="33:40" x14ac:dyDescent="0.2">
      <c r="AG137" s="50"/>
      <c r="AH137" s="50"/>
      <c r="AN137" s="50"/>
    </row>
    <row r="138" spans="33:40" x14ac:dyDescent="0.2">
      <c r="AG138" s="50"/>
      <c r="AH138" s="50"/>
      <c r="AN138" s="50"/>
    </row>
    <row r="139" spans="33:40" x14ac:dyDescent="0.2">
      <c r="AG139" s="50"/>
      <c r="AH139" s="50"/>
      <c r="AN139" s="50"/>
    </row>
    <row r="140" spans="33:40" x14ac:dyDescent="0.2">
      <c r="AG140" s="50"/>
      <c r="AH140" s="50"/>
      <c r="AN140" s="50"/>
    </row>
  </sheetData>
  <sheetProtection sheet="1" objects="1" scenarios="1"/>
  <mergeCells count="26">
    <mergeCell ref="B6:E6"/>
    <mergeCell ref="F6:N6"/>
    <mergeCell ref="B1:L1"/>
    <mergeCell ref="AO1:AP1"/>
    <mergeCell ref="B2:E2"/>
    <mergeCell ref="F2:N2"/>
    <mergeCell ref="P2:U2"/>
    <mergeCell ref="B3:E3"/>
    <mergeCell ref="F3:N3"/>
    <mergeCell ref="P3:U3"/>
    <mergeCell ref="B4:E4"/>
    <mergeCell ref="F4:N4"/>
    <mergeCell ref="P4:U4"/>
    <mergeCell ref="B5:E5"/>
    <mergeCell ref="F5:N5"/>
    <mergeCell ref="B122:Q122"/>
    <mergeCell ref="B7:E7"/>
    <mergeCell ref="F7:N7"/>
    <mergeCell ref="AH10:AI10"/>
    <mergeCell ref="AO10:AP10"/>
    <mergeCell ref="B117:Q117"/>
    <mergeCell ref="B119:Q119"/>
    <mergeCell ref="Y119:AF120"/>
    <mergeCell ref="AG119:AP120"/>
    <mergeCell ref="B120:Q120"/>
    <mergeCell ref="T120:X120"/>
  </mergeCells>
  <conditionalFormatting sqref="B114:AF114 AI114">
    <cfRule type="expression" dxfId="132" priority="13">
      <formula>ABS(B$114)&gt;=ROUND(1/24/60,9)</formula>
    </cfRule>
  </conditionalFormatting>
  <conditionalFormatting sqref="B13:AF22 B34:AF44 B25:AF30 B60:AF61 B67:AF67 B71:AF72 B84:AF84 B86:AF95 B97:AF111">
    <cfRule type="expression" dxfId="131" priority="11">
      <formula>WEEKDAY(B$10,2)&gt;5</formula>
    </cfRule>
    <cfRule type="expression" dxfId="130" priority="12">
      <formula>AND(NOT(ISERROR(MATCH(B$10,T.Feiertage.Bereich,0))),OFFSET(T.Feiertage.Bereich,MATCH(B$10,T.Feiertage.Bereich,0)-1,1,1,1)&gt;0)</formula>
    </cfRule>
    <cfRule type="expression" dxfId="129" priority="14">
      <formula>B$11=0</formula>
    </cfRule>
  </conditionalFormatting>
  <conditionalFormatting sqref="AN60:AO60">
    <cfRule type="expression" dxfId="128" priority="19">
      <formula>AND(T.50_Vetsuisse,AN60&gt;=T.GrenzeAngÜZ50_Vetsuisse)</formula>
    </cfRule>
    <cfRule type="expression" dxfId="127" priority="20">
      <formula>AND(T.50_Vetsuisse,AN60&gt;T.GrenzeAngÜZ50_Vetsuisse*T.AngÜZ50_Vetsuisse_orange)</formula>
    </cfRule>
  </conditionalFormatting>
  <conditionalFormatting sqref="B56:AF56">
    <cfRule type="expression" dxfId="126" priority="5">
      <formula>AND(B$10&gt;TODAY(),EB.UJAustritt="")</formula>
    </cfRule>
    <cfRule type="expression" dxfId="125" priority="6">
      <formula>B$56&gt;99.99/24</formula>
    </cfRule>
    <cfRule type="expression" dxfId="124" priority="8">
      <formula>B$56&lt;99.99/24*-1</formula>
    </cfRule>
  </conditionalFormatting>
  <conditionalFormatting sqref="AO55:AP55">
    <cfRule type="cellIs" dxfId="123" priority="21" operator="greaterThan">
      <formula>1/24/60</formula>
    </cfRule>
    <cfRule type="expression" dxfId="122" priority="22">
      <formula>AND(AO55&lt;=1/24/60*-1,TODAY()&gt;=DATE(EB.Jahr,MONTH(12),DAY(31)))</formula>
    </cfRule>
  </conditionalFormatting>
  <conditionalFormatting sqref="B56:AF56 AI58">
    <cfRule type="expression" dxfId="121" priority="7">
      <formula>B$56&gt;1/24/60</formula>
    </cfRule>
    <cfRule type="expression" dxfId="120" priority="9">
      <formula>AND(B$56&lt;=1/24/60*-1,B$56)</formula>
    </cfRule>
  </conditionalFormatting>
  <conditionalFormatting sqref="B14:AF22 B36:AF44 B26:AF30">
    <cfRule type="expression" dxfId="119" priority="3">
      <formula>AND(B14&lt;B13,B14&lt;&gt;"")</formula>
    </cfRule>
  </conditionalFormatting>
  <conditionalFormatting sqref="B72:AF73">
    <cfRule type="expression" dxfId="118" priority="10">
      <formula>AND(T.50_Vetsuisse,OR(AND(B$72&lt;&gt;INDEX(T.JaNein.Bereich,1,1),B$72&lt;&gt;INDEX(T.JaNein.Bereich,2,1),B$73&lt;&gt;0,MOD(IFERROR(MATCH(1,B$13:B$22,0),1),2)=0),AND(B$72=INDEX(T.JaNein.Bereich,1,1),OR(B$73=0,MOD(IFERROR(MATCH(1,B$13:B$22,0),1),2)&lt;&gt;0))))</formula>
    </cfRule>
  </conditionalFormatting>
  <conditionalFormatting sqref="P4:U4">
    <cfRule type="expression" dxfId="117" priority="15">
      <formula>$P$4&lt;&gt;""</formula>
    </cfRule>
  </conditionalFormatting>
  <conditionalFormatting sqref="V4">
    <cfRule type="expression" dxfId="116" priority="16">
      <formula>$V$4&lt;&gt;""</formula>
    </cfRule>
  </conditionalFormatting>
  <conditionalFormatting sqref="AP60">
    <cfRule type="expression" dxfId="115" priority="23">
      <formula>AND(T.50_Vetsuisse,AP60&gt;=T.GrenzeAngÜZ50_Vetsuisse)</formula>
    </cfRule>
    <cfRule type="expression" dxfId="114" priority="24">
      <formula>AND(T.50_Vetsuisse,AP60&gt;T.GrenzeAngÜZ50_Vetsuisse*T.AngÜZ50_Vetsuisse_orange)</formula>
    </cfRule>
  </conditionalFormatting>
  <conditionalFormatting sqref="AJ72:AJ73">
    <cfRule type="expression" dxfId="113" priority="17">
      <formula>AND(T.50_Vetsuisse,$AJ$72&lt;&gt;$AJ$73)</formula>
    </cfRule>
    <cfRule type="expression" dxfId="112" priority="18">
      <formula>$AJ$72&gt;$AJ$73</formula>
    </cfRule>
  </conditionalFormatting>
  <conditionalFormatting sqref="B55:AF55">
    <cfRule type="expression" dxfId="111" priority="4">
      <formula>AND(B$10&lt;=TODAY(),B$55&lt;1/24/60*-1)</formula>
    </cfRule>
  </conditionalFormatting>
  <conditionalFormatting sqref="AG67 AG84">
    <cfRule type="expression" dxfId="110" priority="2">
      <formula>AG67&lt;&gt;A67</formula>
    </cfRule>
  </conditionalFormatting>
  <conditionalFormatting sqref="B67:AF67">
    <cfRule type="expression" dxfId="109" priority="1">
      <formula>AND(B66=0,B67&gt;0)</formula>
    </cfRule>
  </conditionalFormatting>
  <dataValidations count="2">
    <dataValidation type="list" allowBlank="1" showInputMessage="1" showErrorMessage="1" errorTitle="Start pl. night shift" error="Please choose a value from the drop-down list." sqref="B72:AF72" xr:uid="{B456BCE5-DD35-4BDD-B673-7013AAF38EBD}">
      <formula1>T.JaNein.Bereich</formula1>
    </dataValidation>
    <dataValidation type="list" allowBlank="1" showInputMessage="1" showErrorMessage="1" errorTitle="Pikett Bereitschaft" error="Bitte wählen Sie einen Wert aus der Liste." sqref="B34:AF34" xr:uid="{6F423143-7A34-446C-A149-A099D65A3A0D}">
      <formula1>T.Pikett.Bereich</formula1>
    </dataValidation>
  </dataValidations>
  <printOptions horizontalCentered="1"/>
  <pageMargins left="0.19685039370078741" right="0.19685039370078741" top="0.39370078740157483" bottom="0.39370078740157483" header="0.31496062992125984" footer="0.19685039370078741"/>
  <pageSetup paperSize="9" scale="30" orientation="landscape" horizontalDpi="4294967292" verticalDpi="4294967292" r:id="rId1"/>
  <headerFooter alignWithMargins="0">
    <oddFooter>&amp;L&amp;"Arial,Standard"&amp;11Monatsabrechnung &amp;A&amp;C&amp;"Arial,Standard"&amp;11&amp;D&amp;R&amp;"Arial,Standard"&amp;11&amp;P / &amp;N</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1560</vt:i4>
      </vt:variant>
    </vt:vector>
  </HeadingPairs>
  <TitlesOfParts>
    <vt:vector size="1577" baseType="lpstr">
      <vt:lpstr>Eingabeblatt</vt:lpstr>
      <vt:lpstr>January</vt:lpstr>
      <vt:lpstr>February</vt:lpstr>
      <vt:lpstr>March</vt:lpstr>
      <vt:lpstr>April</vt:lpstr>
      <vt:lpstr>May</vt:lpstr>
      <vt:lpstr>June</vt:lpstr>
      <vt:lpstr>July</vt:lpstr>
      <vt:lpstr>August</vt:lpstr>
      <vt:lpstr>September</vt:lpstr>
      <vt:lpstr>October</vt:lpstr>
      <vt:lpstr>November</vt:lpstr>
      <vt:lpstr>December</vt:lpstr>
      <vt:lpstr>Jahresabrechnung</vt:lpstr>
      <vt:lpstr>Projektübersicht</vt:lpstr>
      <vt:lpstr>Projektübersicht-E+Q</vt:lpstr>
      <vt:lpstr>Tabellen</vt:lpstr>
      <vt:lpstr>April!Druckbereich</vt:lpstr>
      <vt:lpstr>August!Druckbereich</vt:lpstr>
      <vt:lpstr>December!Druckbereich</vt:lpstr>
      <vt:lpstr>Eingabeblatt!Druckbereich</vt:lpstr>
      <vt:lpstr>February!Druckbereich</vt:lpstr>
      <vt:lpstr>Jahresabrechnung!Druckbereich</vt:lpstr>
      <vt:lpstr>January!Druckbereich</vt:lpstr>
      <vt:lpstr>July!Druckbereich</vt:lpstr>
      <vt:lpstr>June!Druckbereich</vt:lpstr>
      <vt:lpstr>March!Druckbereich</vt:lpstr>
      <vt:lpstr>May!Druckbereich</vt:lpstr>
      <vt:lpstr>November!Druckbereich</vt:lpstr>
      <vt:lpstr>October!Druckbereich</vt:lpstr>
      <vt:lpstr>Projektübersicht!Druckbereich</vt:lpstr>
      <vt:lpstr>'Projektübersicht-E+Q'!Druckbereich</vt:lpstr>
      <vt:lpstr>September!Druckbereich</vt:lpstr>
      <vt:lpstr>EB.Anpassungszeitpunkt</vt:lpstr>
      <vt:lpstr>EB.Anwendung</vt:lpstr>
      <vt:lpstr>EB.AnzMonate</vt:lpstr>
      <vt:lpstr>EB.AnzProjekte</vt:lpstr>
      <vt:lpstr>EB.AZS</vt:lpstr>
      <vt:lpstr>EB.AZSOLLMonat100.Bereich</vt:lpstr>
      <vt:lpstr>EB.AZSOLLTag100.Bereich</vt:lpstr>
      <vt:lpstr>EB.BG</vt:lpstr>
      <vt:lpstr>EB.BG_Total</vt:lpstr>
      <vt:lpstr>EB.DAG</vt:lpstr>
      <vt:lpstr>EB.DAGber</vt:lpstr>
      <vt:lpstr>EB.DurchSollTAZStd.Bereich</vt:lpstr>
      <vt:lpstr>EB.EffBG.Bereich</vt:lpstr>
      <vt:lpstr>EB.EffBG.Knoten</vt:lpstr>
      <vt:lpstr>EB.Fakultaet</vt:lpstr>
      <vt:lpstr>EB.Ferien</vt:lpstr>
      <vt:lpstr>EB.FerienBer</vt:lpstr>
      <vt:lpstr>EB.FerienSollJahr100</vt:lpstr>
      <vt:lpstr>EB.Frei_Tage</vt:lpstr>
      <vt:lpstr>EB.Funktion</vt:lpstr>
      <vt:lpstr>EB.Geburtsdatum</vt:lpstr>
      <vt:lpstr>EB.Geburtsjahr</vt:lpstr>
      <vt:lpstr>EB.Institut</vt:lpstr>
      <vt:lpstr>EB.Jahr</vt:lpstr>
      <vt:lpstr>EB.Kom</vt:lpstr>
      <vt:lpstr>EB.Lernender</vt:lpstr>
      <vt:lpstr>EB.LKgr16</vt:lpstr>
      <vt:lpstr>EB.LKgr16ab</vt:lpstr>
      <vt:lpstr>EB.MFAStd.Knoten</vt:lpstr>
      <vt:lpstr>EB.MKAStd.Knoten</vt:lpstr>
      <vt:lpstr>EB.MMS</vt:lpstr>
      <vt:lpstr>EB.Monate.Bereich</vt:lpstr>
      <vt:lpstr>EB.Name</vt:lpstr>
      <vt:lpstr>EB.Personalkategorie</vt:lpstr>
      <vt:lpstr>EB.Personalnummer</vt:lpstr>
      <vt:lpstr>EB.Projektart.Bereich</vt:lpstr>
      <vt:lpstr>EB.Projektart.Knoten</vt:lpstr>
      <vt:lpstr>EB.Projekte.Knoten</vt:lpstr>
      <vt:lpstr>EB.Projekte.RahmenBereich</vt:lpstr>
      <vt:lpstr>EB.RAZ_Wochentage.Bereich</vt:lpstr>
      <vt:lpstr>EB.RAZ1_7.Bereich</vt:lpstr>
      <vt:lpstr>EB.SollAZJahr100</vt:lpstr>
      <vt:lpstr>EB.Sprache</vt:lpstr>
      <vt:lpstr>EB.Tag1</vt:lpstr>
      <vt:lpstr>EB.UeZ</vt:lpstr>
      <vt:lpstr>EB.UJAustritt</vt:lpstr>
      <vt:lpstr>EB.UJEintritt</vt:lpstr>
      <vt:lpstr>EB.ÜVMMS</vt:lpstr>
      <vt:lpstr>EB.ÜZZSBerechtigt</vt:lpstr>
      <vt:lpstr>EB.Version</vt:lpstr>
      <vt:lpstr>EB.WeitereAngaben</vt:lpstr>
      <vt:lpstr>EB.Wochenarbeitszeit</vt:lpstr>
      <vt:lpstr>EB.ZZNd</vt:lpstr>
      <vt:lpstr>April!FieldtoSelect</vt:lpstr>
      <vt:lpstr>August!FieldtoSelect</vt:lpstr>
      <vt:lpstr>December!FieldtoSelect</vt:lpstr>
      <vt:lpstr>Eingabeblatt!FieldtoSelect</vt:lpstr>
      <vt:lpstr>February!FieldtoSelect</vt:lpstr>
      <vt:lpstr>Jahresabrechnung!FieldtoSelect</vt:lpstr>
      <vt:lpstr>January!FieldtoSelect</vt:lpstr>
      <vt:lpstr>July!FieldtoSelect</vt:lpstr>
      <vt:lpstr>June!FieldtoSelect</vt:lpstr>
      <vt:lpstr>March!FieldtoSelect</vt:lpstr>
      <vt:lpstr>May!FieldtoSelect</vt:lpstr>
      <vt:lpstr>November!FieldtoSelect</vt:lpstr>
      <vt:lpstr>October!FieldtoSelect</vt:lpstr>
      <vt:lpstr>Projektübersicht!FieldtoSelect</vt:lpstr>
      <vt:lpstr>'Projektübersicht-E+Q'!FieldtoSelect</vt:lpstr>
      <vt:lpstr>September!FieldtoSelect</vt:lpstr>
      <vt:lpstr>Tabellen!FieldtoSelect</vt:lpstr>
      <vt:lpstr>J.AZSaldo.Total</vt:lpstr>
      <vt:lpstr>J.Ferien.Total</vt:lpstr>
      <vt:lpstr>J.FerienUE.Total</vt:lpstr>
      <vt:lpstr>J.KomAZ.Total</vt:lpstr>
      <vt:lpstr>J.MMSUE.Total</vt:lpstr>
      <vt:lpstr>J.UeZ.Total</vt:lpstr>
      <vt:lpstr>Jahr.Abendarbeit.Total</vt:lpstr>
      <vt:lpstr>Jahr.AngÜZ</vt:lpstr>
      <vt:lpstr>Jahr.AnzahlPiketttage.Total</vt:lpstr>
      <vt:lpstr>Jahr.Arzt.Total</vt:lpstr>
      <vt:lpstr>Jahr.AZ.Total</vt:lpstr>
      <vt:lpstr>Jahr.BD.Total</vt:lpstr>
      <vt:lpstr>Jahr.BesUrlaub.Total</vt:lpstr>
      <vt:lpstr>Jahr.BG.Total</vt:lpstr>
      <vt:lpstr>Jahr.BU.Total</vt:lpstr>
      <vt:lpstr>Jahr.DAG.Total</vt:lpstr>
      <vt:lpstr>Jahr.DAGUE.Total</vt:lpstr>
      <vt:lpstr>Jahr.ein_aus.Total</vt:lpstr>
      <vt:lpstr>Jahr.ein_aus_Pikett.Total</vt:lpstr>
      <vt:lpstr>Jahr.KompZZSND</vt:lpstr>
      <vt:lpstr>Jahr.KomUeZ.Total</vt:lpstr>
      <vt:lpstr>Jahr.Krank.Total</vt:lpstr>
      <vt:lpstr>Jahr.MZS.Total</vt:lpstr>
      <vt:lpstr>Jahr.NB.Total</vt:lpstr>
      <vt:lpstr>Jahr.NBU.Total</vt:lpstr>
      <vt:lpstr>Jahr.ND.Total</vt:lpstr>
      <vt:lpstr>Jahr.SD.Total</vt:lpstr>
      <vt:lpstr>Jahr.SollAZNetto.Total</vt:lpstr>
      <vt:lpstr>Jahr.UeziZSUE.Total</vt:lpstr>
      <vt:lpstr>Jahr.UeZSaldo.Total</vt:lpstr>
      <vt:lpstr>Jahr.UnbesUrlaub.Total</vt:lpstr>
      <vt:lpstr>Jahr.ÜZZSBerechtigt.Total</vt:lpstr>
      <vt:lpstr>Jahr.WB.Total</vt:lpstr>
      <vt:lpstr>Jahr.ZählerND.Total</vt:lpstr>
      <vt:lpstr>Jahr.ZZSND.Total</vt:lpstr>
      <vt:lpstr>Jahr.ZZSNDSaldo</vt:lpstr>
      <vt:lpstr>Jahr.ZZSNDSaldoUE.Total</vt:lpstr>
      <vt:lpstr>April!Monat.AAUeVM</vt:lpstr>
      <vt:lpstr>August!Monat.AAUeVM</vt:lpstr>
      <vt:lpstr>December!Monat.AAUeVM</vt:lpstr>
      <vt:lpstr>February!Monat.AAUeVM</vt:lpstr>
      <vt:lpstr>January!Monat.AAUeVM</vt:lpstr>
      <vt:lpstr>July!Monat.AAUeVM</vt:lpstr>
      <vt:lpstr>June!Monat.AAUeVM</vt:lpstr>
      <vt:lpstr>March!Monat.AAUeVM</vt:lpstr>
      <vt:lpstr>May!Monat.AAUeVM</vt:lpstr>
      <vt:lpstr>November!Monat.AAUeVM</vt:lpstr>
      <vt:lpstr>October!Monat.AAUeVM</vt:lpstr>
      <vt:lpstr>September!Monat.AAUeVM</vt:lpstr>
      <vt:lpstr>April!Monat.AB.Total</vt:lpstr>
      <vt:lpstr>August!Monat.AB.Total</vt:lpstr>
      <vt:lpstr>December!Monat.AB.Total</vt:lpstr>
      <vt:lpstr>February!Monat.AB.Total</vt:lpstr>
      <vt:lpstr>January!Monat.AB.Total</vt:lpstr>
      <vt:lpstr>July!Monat.AB.Total</vt:lpstr>
      <vt:lpstr>June!Monat.AB.Total</vt:lpstr>
      <vt:lpstr>March!Monat.AB.Total</vt:lpstr>
      <vt:lpstr>May!Monat.AB.Total</vt:lpstr>
      <vt:lpstr>November!Monat.AB.Total</vt:lpstr>
      <vt:lpstr>October!Monat.AB.Total</vt:lpstr>
      <vt:lpstr>September!Monat.AB.Total</vt:lpstr>
      <vt:lpstr>April!Monat.Abendarbeit.Total</vt:lpstr>
      <vt:lpstr>August!Monat.Abendarbeit.Total</vt:lpstr>
      <vt:lpstr>December!Monat.Abendarbeit.Total</vt:lpstr>
      <vt:lpstr>February!Monat.Abendarbeit.Total</vt:lpstr>
      <vt:lpstr>January!Monat.Abendarbeit.Total</vt:lpstr>
      <vt:lpstr>July!Monat.Abendarbeit.Total</vt:lpstr>
      <vt:lpstr>June!Monat.Abendarbeit.Total</vt:lpstr>
      <vt:lpstr>March!Monat.Abendarbeit.Total</vt:lpstr>
      <vt:lpstr>May!Monat.Abendarbeit.Total</vt:lpstr>
      <vt:lpstr>November!Monat.Abendarbeit.Total</vt:lpstr>
      <vt:lpstr>October!Monat.Abendarbeit.Total</vt:lpstr>
      <vt:lpstr>September!Monat.Abendarbeit.Total</vt:lpstr>
      <vt:lpstr>April!Monat.AbendarbeitText</vt:lpstr>
      <vt:lpstr>August!Monat.AbendarbeitText</vt:lpstr>
      <vt:lpstr>December!Monat.AbendarbeitText</vt:lpstr>
      <vt:lpstr>February!Monat.AbendarbeitText</vt:lpstr>
      <vt:lpstr>January!Monat.AbendarbeitText</vt:lpstr>
      <vt:lpstr>July!Monat.AbendarbeitText</vt:lpstr>
      <vt:lpstr>June!Monat.AbendarbeitText</vt:lpstr>
      <vt:lpstr>March!Monat.AbendarbeitText</vt:lpstr>
      <vt:lpstr>May!Monat.AbendarbeitText</vt:lpstr>
      <vt:lpstr>November!Monat.AbendarbeitText</vt:lpstr>
      <vt:lpstr>October!Monat.AbendarbeitText</vt:lpstr>
      <vt:lpstr>September!Monat.AbendarbeitText</vt:lpstr>
      <vt:lpstr>April!Monat.AnUeZ.Total</vt:lpstr>
      <vt:lpstr>August!Monat.AnUeZ.Total</vt:lpstr>
      <vt:lpstr>December!Monat.AnUeZ.Total</vt:lpstr>
      <vt:lpstr>February!Monat.AnUeZ.Total</vt:lpstr>
      <vt:lpstr>January!Monat.AnUeZ.Total</vt:lpstr>
      <vt:lpstr>July!Monat.AnUeZ.Total</vt:lpstr>
      <vt:lpstr>June!Monat.AnUeZ.Total</vt:lpstr>
      <vt:lpstr>March!Monat.AnUeZ.Total</vt:lpstr>
      <vt:lpstr>May!Monat.AnUeZ.Total</vt:lpstr>
      <vt:lpstr>November!Monat.AnUeZ.Total</vt:lpstr>
      <vt:lpstr>October!Monat.AnUeZ.Total</vt:lpstr>
      <vt:lpstr>September!Monat.AnUeZ.Total</vt:lpstr>
      <vt:lpstr>April!Monat.AnUeZ.Zähler</vt:lpstr>
      <vt:lpstr>August!Monat.AnUeZ.Zähler</vt:lpstr>
      <vt:lpstr>December!Monat.AnUeZ.Zähler</vt:lpstr>
      <vt:lpstr>February!Monat.AnUeZ.Zähler</vt:lpstr>
      <vt:lpstr>January!Monat.AnUeZ.Zähler</vt:lpstr>
      <vt:lpstr>July!Monat.AnUeZ.Zähler</vt:lpstr>
      <vt:lpstr>June!Monat.AnUeZ.Zähler</vt:lpstr>
      <vt:lpstr>March!Monat.AnUeZ.Zähler</vt:lpstr>
      <vt:lpstr>May!Monat.AnUeZ.Zähler</vt:lpstr>
      <vt:lpstr>November!Monat.AnUeZ.Zähler</vt:lpstr>
      <vt:lpstr>October!Monat.AnUeZ.Zähler</vt:lpstr>
      <vt:lpstr>September!Monat.AnUeZ.Zähler</vt:lpstr>
      <vt:lpstr>April!Monat.AnUeZText</vt:lpstr>
      <vt:lpstr>August!Monat.AnUeZText</vt:lpstr>
      <vt:lpstr>December!Monat.AnUeZText</vt:lpstr>
      <vt:lpstr>February!Monat.AnUeZText</vt:lpstr>
      <vt:lpstr>January!Monat.AnUeZText</vt:lpstr>
      <vt:lpstr>July!Monat.AnUeZText</vt:lpstr>
      <vt:lpstr>June!Monat.AnUeZText</vt:lpstr>
      <vt:lpstr>March!Monat.AnUeZText</vt:lpstr>
      <vt:lpstr>May!Monat.AnUeZText</vt:lpstr>
      <vt:lpstr>November!Monat.AnUeZText</vt:lpstr>
      <vt:lpstr>October!Monat.AnUeZText</vt:lpstr>
      <vt:lpstr>September!Monat.AnUeZText</vt:lpstr>
      <vt:lpstr>April!Monat.AnUeZUeVM</vt:lpstr>
      <vt:lpstr>August!Monat.AnUeZUeVM</vt:lpstr>
      <vt:lpstr>December!Monat.AnUeZUeVM</vt:lpstr>
      <vt:lpstr>February!Monat.AnUeZUeVM</vt:lpstr>
      <vt:lpstr>January!Monat.AnUeZUeVM</vt:lpstr>
      <vt:lpstr>July!Monat.AnUeZUeVM</vt:lpstr>
      <vt:lpstr>June!Monat.AnUeZUeVM</vt:lpstr>
      <vt:lpstr>March!Monat.AnUeZUeVM</vt:lpstr>
      <vt:lpstr>May!Monat.AnUeZUeVM</vt:lpstr>
      <vt:lpstr>November!Monat.AnUeZUeVM</vt:lpstr>
      <vt:lpstr>October!Monat.AnUeZUeVM</vt:lpstr>
      <vt:lpstr>September!Monat.AnUeZUeVM</vt:lpstr>
      <vt:lpstr>April!Monat.ArztText</vt:lpstr>
      <vt:lpstr>August!Monat.ArztText</vt:lpstr>
      <vt:lpstr>December!Monat.ArztText</vt:lpstr>
      <vt:lpstr>February!Monat.ArztText</vt:lpstr>
      <vt:lpstr>January!Monat.ArztText</vt:lpstr>
      <vt:lpstr>July!Monat.ArztText</vt:lpstr>
      <vt:lpstr>June!Monat.ArztText</vt:lpstr>
      <vt:lpstr>March!Monat.ArztText</vt:lpstr>
      <vt:lpstr>May!Monat.ArztText</vt:lpstr>
      <vt:lpstr>November!Monat.ArztText</vt:lpstr>
      <vt:lpstr>October!Monat.ArztText</vt:lpstr>
      <vt:lpstr>September!Monat.ArztText</vt:lpstr>
      <vt:lpstr>April!Monat.ArztUeVM</vt:lpstr>
      <vt:lpstr>August!Monat.ArztUeVM</vt:lpstr>
      <vt:lpstr>December!Monat.ArztUeVM</vt:lpstr>
      <vt:lpstr>February!Monat.ArztUeVM</vt:lpstr>
      <vt:lpstr>January!Monat.ArztUeVM</vt:lpstr>
      <vt:lpstr>July!Monat.ArztUeVM</vt:lpstr>
      <vt:lpstr>June!Monat.ArztUeVM</vt:lpstr>
      <vt:lpstr>March!Monat.ArztUeVM</vt:lpstr>
      <vt:lpstr>May!Monat.ArztUeVM</vt:lpstr>
      <vt:lpstr>November!Monat.ArztUeVM</vt:lpstr>
      <vt:lpstr>October!Monat.ArztUeVM</vt:lpstr>
      <vt:lpstr>September!Monat.ArztUeVM</vt:lpstr>
      <vt:lpstr>April!Monat.AZIstWRestUeVM</vt:lpstr>
      <vt:lpstr>August!Monat.AZIstWRestUeVM</vt:lpstr>
      <vt:lpstr>December!Monat.AZIstWRestUeVM</vt:lpstr>
      <vt:lpstr>February!Monat.AZIstWRestUeVM</vt:lpstr>
      <vt:lpstr>January!Monat.AZIstWRestUeVM</vt:lpstr>
      <vt:lpstr>July!Monat.AZIstWRestUeVM</vt:lpstr>
      <vt:lpstr>June!Monat.AZIstWRestUeVM</vt:lpstr>
      <vt:lpstr>March!Monat.AZIstWRestUeVM</vt:lpstr>
      <vt:lpstr>May!Monat.AZIstWRestUeVM</vt:lpstr>
      <vt:lpstr>November!Monat.AZIstWRestUeVM</vt:lpstr>
      <vt:lpstr>October!Monat.AZIstWRestUeVM</vt:lpstr>
      <vt:lpstr>September!Monat.AZIstWRestUeVM</vt:lpstr>
      <vt:lpstr>April!Monat.AZSaldoUeVM</vt:lpstr>
      <vt:lpstr>August!Monat.AZSaldoUeVM</vt:lpstr>
      <vt:lpstr>December!Monat.AZSaldoUeVM</vt:lpstr>
      <vt:lpstr>February!Monat.AZSaldoUeVM</vt:lpstr>
      <vt:lpstr>January!Monat.AZSaldoUeVM</vt:lpstr>
      <vt:lpstr>July!Monat.AZSaldoUeVM</vt:lpstr>
      <vt:lpstr>June!Monat.AZSaldoUeVM</vt:lpstr>
      <vt:lpstr>March!Monat.AZSaldoUeVM</vt:lpstr>
      <vt:lpstr>May!Monat.AZSaldoUeVM</vt:lpstr>
      <vt:lpstr>November!Monat.AZSaldoUeVM</vt:lpstr>
      <vt:lpstr>October!Monat.AZSaldoUeVM</vt:lpstr>
      <vt:lpstr>September!Monat.AZSaldoUeVM</vt:lpstr>
      <vt:lpstr>April!Monat.AZSoll.Total</vt:lpstr>
      <vt:lpstr>August!Monat.AZSoll.Total</vt:lpstr>
      <vt:lpstr>December!Monat.AZSoll.Total</vt:lpstr>
      <vt:lpstr>February!Monat.AZSoll.Total</vt:lpstr>
      <vt:lpstr>January!Monat.AZSoll.Total</vt:lpstr>
      <vt:lpstr>July!Monat.AZSoll.Total</vt:lpstr>
      <vt:lpstr>June!Monat.AZSoll.Total</vt:lpstr>
      <vt:lpstr>March!Monat.AZSoll.Total</vt:lpstr>
      <vt:lpstr>May!Monat.AZSoll.Total</vt:lpstr>
      <vt:lpstr>November!Monat.AZSoll.Total</vt:lpstr>
      <vt:lpstr>October!Monat.AZSoll.Total</vt:lpstr>
      <vt:lpstr>September!Monat.AZSoll.Total</vt:lpstr>
      <vt:lpstr>April!Monat.AZSoll100.Total</vt:lpstr>
      <vt:lpstr>August!Monat.AZSoll100.Total</vt:lpstr>
      <vt:lpstr>December!Monat.AZSoll100.Total</vt:lpstr>
      <vt:lpstr>February!Monat.AZSoll100.Total</vt:lpstr>
      <vt:lpstr>January!Monat.AZSoll100.Total</vt:lpstr>
      <vt:lpstr>July!Monat.AZSoll100.Total</vt:lpstr>
      <vt:lpstr>June!Monat.AZSoll100.Total</vt:lpstr>
      <vt:lpstr>March!Monat.AZSoll100.Total</vt:lpstr>
      <vt:lpstr>May!Monat.AZSoll100.Total</vt:lpstr>
      <vt:lpstr>November!Monat.AZSoll100.Total</vt:lpstr>
      <vt:lpstr>October!Monat.AZSoll100.Total</vt:lpstr>
      <vt:lpstr>September!Monat.AZSoll100.Total</vt:lpstr>
      <vt:lpstr>April!Monat.BD.Total</vt:lpstr>
      <vt:lpstr>August!Monat.BD.Total</vt:lpstr>
      <vt:lpstr>December!Monat.BD.Total</vt:lpstr>
      <vt:lpstr>February!Monat.BD.Total</vt:lpstr>
      <vt:lpstr>January!Monat.BD.Total</vt:lpstr>
      <vt:lpstr>July!Monat.BD.Total</vt:lpstr>
      <vt:lpstr>June!Monat.BD.Total</vt:lpstr>
      <vt:lpstr>March!Monat.BD.Total</vt:lpstr>
      <vt:lpstr>May!Monat.BD.Total</vt:lpstr>
      <vt:lpstr>November!Monat.BD.Total</vt:lpstr>
      <vt:lpstr>October!Monat.BD.Total</vt:lpstr>
      <vt:lpstr>September!Monat.BD.Total</vt:lpstr>
      <vt:lpstr>April!Monat.BDText</vt:lpstr>
      <vt:lpstr>August!Monat.BDText</vt:lpstr>
      <vt:lpstr>December!Monat.BDText</vt:lpstr>
      <vt:lpstr>February!Monat.BDText</vt:lpstr>
      <vt:lpstr>January!Monat.BDText</vt:lpstr>
      <vt:lpstr>July!Monat.BDText</vt:lpstr>
      <vt:lpstr>June!Monat.BDText</vt:lpstr>
      <vt:lpstr>March!Monat.BDText</vt:lpstr>
      <vt:lpstr>May!Monat.BDText</vt:lpstr>
      <vt:lpstr>November!Monat.BDText</vt:lpstr>
      <vt:lpstr>October!Monat.BDText</vt:lpstr>
      <vt:lpstr>September!Monat.BDText</vt:lpstr>
      <vt:lpstr>April!Monat.BDUeVM</vt:lpstr>
      <vt:lpstr>August!Monat.BDUeVM</vt:lpstr>
      <vt:lpstr>December!Monat.BDUeVM</vt:lpstr>
      <vt:lpstr>February!Monat.BDUeVM</vt:lpstr>
      <vt:lpstr>January!Monat.BDUeVM</vt:lpstr>
      <vt:lpstr>July!Monat.BDUeVM</vt:lpstr>
      <vt:lpstr>June!Monat.BDUeVM</vt:lpstr>
      <vt:lpstr>March!Monat.BDUeVM</vt:lpstr>
      <vt:lpstr>May!Monat.BDUeVM</vt:lpstr>
      <vt:lpstr>November!Monat.BDUeVM</vt:lpstr>
      <vt:lpstr>October!Monat.BDUeVM</vt:lpstr>
      <vt:lpstr>September!Monat.BDUeVM</vt:lpstr>
      <vt:lpstr>April!Monat.BesU.Total</vt:lpstr>
      <vt:lpstr>August!Monat.BesU.Total</vt:lpstr>
      <vt:lpstr>December!Monat.BesU.Total</vt:lpstr>
      <vt:lpstr>February!Monat.BesU.Total</vt:lpstr>
      <vt:lpstr>January!Monat.BesU.Total</vt:lpstr>
      <vt:lpstr>July!Monat.BesU.Total</vt:lpstr>
      <vt:lpstr>June!Monat.BesU.Total</vt:lpstr>
      <vt:lpstr>March!Monat.BesU.Total</vt:lpstr>
      <vt:lpstr>May!Monat.BesU.Total</vt:lpstr>
      <vt:lpstr>November!Monat.BesU.Total</vt:lpstr>
      <vt:lpstr>October!Monat.BesU.Total</vt:lpstr>
      <vt:lpstr>September!Monat.BesU.Total</vt:lpstr>
      <vt:lpstr>April!Monat.BesUrlaubText</vt:lpstr>
      <vt:lpstr>August!Monat.BesUrlaubText</vt:lpstr>
      <vt:lpstr>December!Monat.BesUrlaubText</vt:lpstr>
      <vt:lpstr>February!Monat.BesUrlaubText</vt:lpstr>
      <vt:lpstr>January!Monat.BesUrlaubText</vt:lpstr>
      <vt:lpstr>July!Monat.BesUrlaubText</vt:lpstr>
      <vt:lpstr>June!Monat.BesUrlaubText</vt:lpstr>
      <vt:lpstr>March!Monat.BesUrlaubText</vt:lpstr>
      <vt:lpstr>May!Monat.BesUrlaubText</vt:lpstr>
      <vt:lpstr>November!Monat.BesUrlaubText</vt:lpstr>
      <vt:lpstr>October!Monat.BesUrlaubText</vt:lpstr>
      <vt:lpstr>September!Monat.BesUrlaubText</vt:lpstr>
      <vt:lpstr>April!Monat.BesUrlaubUeVM</vt:lpstr>
      <vt:lpstr>August!Monat.BesUrlaubUeVM</vt:lpstr>
      <vt:lpstr>December!Monat.BesUrlaubUeVM</vt:lpstr>
      <vt:lpstr>February!Monat.BesUrlaubUeVM</vt:lpstr>
      <vt:lpstr>January!Monat.BesUrlaubUeVM</vt:lpstr>
      <vt:lpstr>July!Monat.BesUrlaubUeVM</vt:lpstr>
      <vt:lpstr>June!Monat.BesUrlaubUeVM</vt:lpstr>
      <vt:lpstr>March!Monat.BesUrlaubUeVM</vt:lpstr>
      <vt:lpstr>May!Monat.BesUrlaubUeVM</vt:lpstr>
      <vt:lpstr>November!Monat.BesUrlaubUeVM</vt:lpstr>
      <vt:lpstr>October!Monat.BesUrlaubUeVM</vt:lpstr>
      <vt:lpstr>September!Monat.BesUrlaubUeVM</vt:lpstr>
      <vt:lpstr>April!Monat.BU.Total</vt:lpstr>
      <vt:lpstr>August!Monat.BU.Total</vt:lpstr>
      <vt:lpstr>December!Monat.BU.Total</vt:lpstr>
      <vt:lpstr>February!Monat.BU.Total</vt:lpstr>
      <vt:lpstr>January!Monat.BU.Total</vt:lpstr>
      <vt:lpstr>July!Monat.BU.Total</vt:lpstr>
      <vt:lpstr>June!Monat.BU.Total</vt:lpstr>
      <vt:lpstr>March!Monat.BU.Total</vt:lpstr>
      <vt:lpstr>May!Monat.BU.Total</vt:lpstr>
      <vt:lpstr>November!Monat.BU.Total</vt:lpstr>
      <vt:lpstr>October!Monat.BU.Total</vt:lpstr>
      <vt:lpstr>September!Monat.BU.Total</vt:lpstr>
      <vt:lpstr>April!Monat.BUText</vt:lpstr>
      <vt:lpstr>August!Monat.BUText</vt:lpstr>
      <vt:lpstr>December!Monat.BUText</vt:lpstr>
      <vt:lpstr>February!Monat.BUText</vt:lpstr>
      <vt:lpstr>January!Monat.BUText</vt:lpstr>
      <vt:lpstr>July!Monat.BUText</vt:lpstr>
      <vt:lpstr>June!Monat.BUText</vt:lpstr>
      <vt:lpstr>March!Monat.BUText</vt:lpstr>
      <vt:lpstr>May!Monat.BUText</vt:lpstr>
      <vt:lpstr>November!Monat.BUText</vt:lpstr>
      <vt:lpstr>October!Monat.BUText</vt:lpstr>
      <vt:lpstr>September!Monat.BUText</vt:lpstr>
      <vt:lpstr>April!Monat.BUUeVM</vt:lpstr>
      <vt:lpstr>August!Monat.BUUeVM</vt:lpstr>
      <vt:lpstr>December!Monat.BUUeVM</vt:lpstr>
      <vt:lpstr>February!Monat.BUUeVM</vt:lpstr>
      <vt:lpstr>January!Monat.BUUeVM</vt:lpstr>
      <vt:lpstr>July!Monat.BUUeVM</vt:lpstr>
      <vt:lpstr>June!Monat.BUUeVM</vt:lpstr>
      <vt:lpstr>March!Monat.BUUeVM</vt:lpstr>
      <vt:lpstr>May!Monat.BUUeVM</vt:lpstr>
      <vt:lpstr>November!Monat.BUUeVM</vt:lpstr>
      <vt:lpstr>October!Monat.BUUeVM</vt:lpstr>
      <vt:lpstr>September!Monat.BUUeVM</vt:lpstr>
      <vt:lpstr>April!Monat.DAG.Total</vt:lpstr>
      <vt:lpstr>August!Monat.DAG.Total</vt:lpstr>
      <vt:lpstr>December!Monat.DAG.Total</vt:lpstr>
      <vt:lpstr>February!Monat.DAG.Total</vt:lpstr>
      <vt:lpstr>January!Monat.DAG.Total</vt:lpstr>
      <vt:lpstr>July!Monat.DAG.Total</vt:lpstr>
      <vt:lpstr>June!Monat.DAG.Total</vt:lpstr>
      <vt:lpstr>March!Monat.DAG.Total</vt:lpstr>
      <vt:lpstr>May!Monat.DAG.Total</vt:lpstr>
      <vt:lpstr>November!Monat.DAG.Total</vt:lpstr>
      <vt:lpstr>October!Monat.DAG.Total</vt:lpstr>
      <vt:lpstr>September!Monat.DAG.Total</vt:lpstr>
      <vt:lpstr>April!Monat.DAGText</vt:lpstr>
      <vt:lpstr>August!Monat.DAGText</vt:lpstr>
      <vt:lpstr>December!Monat.DAGText</vt:lpstr>
      <vt:lpstr>February!Monat.DAGText</vt:lpstr>
      <vt:lpstr>January!Monat.DAGText</vt:lpstr>
      <vt:lpstr>July!Monat.DAGText</vt:lpstr>
      <vt:lpstr>June!Monat.DAGText</vt:lpstr>
      <vt:lpstr>March!Monat.DAGText</vt:lpstr>
      <vt:lpstr>May!Monat.DAGText</vt:lpstr>
      <vt:lpstr>November!Monat.DAGText</vt:lpstr>
      <vt:lpstr>October!Monat.DAGText</vt:lpstr>
      <vt:lpstr>September!Monat.DAGText</vt:lpstr>
      <vt:lpstr>April!Monat.DAGUeVM</vt:lpstr>
      <vt:lpstr>August!Monat.DAGUeVM</vt:lpstr>
      <vt:lpstr>December!Monat.DAGUeVM</vt:lpstr>
      <vt:lpstr>February!Monat.DAGUeVM</vt:lpstr>
      <vt:lpstr>January!Monat.DAGUeVM</vt:lpstr>
      <vt:lpstr>July!Monat.DAGUeVM</vt:lpstr>
      <vt:lpstr>June!Monat.DAGUeVM</vt:lpstr>
      <vt:lpstr>March!Monat.DAGUeVM</vt:lpstr>
      <vt:lpstr>May!Monat.DAGUeVM</vt:lpstr>
      <vt:lpstr>November!Monat.DAGUeVM</vt:lpstr>
      <vt:lpstr>October!Monat.DAGUeVM</vt:lpstr>
      <vt:lpstr>September!Monat.DAGUeVM</vt:lpstr>
      <vt:lpstr>April!Monat.ein_aus.Total</vt:lpstr>
      <vt:lpstr>August!Monat.ein_aus.Total</vt:lpstr>
      <vt:lpstr>December!Monat.ein_aus.Total</vt:lpstr>
      <vt:lpstr>February!Monat.ein_aus.Total</vt:lpstr>
      <vt:lpstr>January!Monat.ein_aus.Total</vt:lpstr>
      <vt:lpstr>July!Monat.ein_aus.Total</vt:lpstr>
      <vt:lpstr>June!Monat.ein_aus.Total</vt:lpstr>
      <vt:lpstr>March!Monat.ein_aus.Total</vt:lpstr>
      <vt:lpstr>May!Monat.ein_aus.Total</vt:lpstr>
      <vt:lpstr>November!Monat.ein_aus.Total</vt:lpstr>
      <vt:lpstr>October!Monat.ein_aus.Total</vt:lpstr>
      <vt:lpstr>September!Monat.ein_aus.Total</vt:lpstr>
      <vt:lpstr>April!Monat.ein_aus_Pikett.Total</vt:lpstr>
      <vt:lpstr>August!Monat.ein_aus_Pikett.Total</vt:lpstr>
      <vt:lpstr>December!Monat.ein_aus_Pikett.Total</vt:lpstr>
      <vt:lpstr>February!Monat.ein_aus_Pikett.Total</vt:lpstr>
      <vt:lpstr>January!Monat.ein_aus_Pikett.Total</vt:lpstr>
      <vt:lpstr>July!Monat.ein_aus_Pikett.Total</vt:lpstr>
      <vt:lpstr>June!Monat.ein_aus_Pikett.Total</vt:lpstr>
      <vt:lpstr>March!Monat.ein_aus_Pikett.Total</vt:lpstr>
      <vt:lpstr>May!Monat.ein_aus_Pikett.Total</vt:lpstr>
      <vt:lpstr>November!Monat.ein_aus_Pikett.Total</vt:lpstr>
      <vt:lpstr>October!Monat.ein_aus_Pikett.Total</vt:lpstr>
      <vt:lpstr>September!Monat.ein_aus_Pikett.Total</vt:lpstr>
      <vt:lpstr>April!Monat.ein_aus_PikettText</vt:lpstr>
      <vt:lpstr>August!Monat.ein_aus_PikettText</vt:lpstr>
      <vt:lpstr>December!Monat.ein_aus_PikettText</vt:lpstr>
      <vt:lpstr>February!Monat.ein_aus_PikettText</vt:lpstr>
      <vt:lpstr>January!Monat.ein_aus_PikettText</vt:lpstr>
      <vt:lpstr>July!Monat.ein_aus_PikettText</vt:lpstr>
      <vt:lpstr>June!Monat.ein_aus_PikettText</vt:lpstr>
      <vt:lpstr>March!Monat.ein_aus_PikettText</vt:lpstr>
      <vt:lpstr>May!Monat.ein_aus_PikettText</vt:lpstr>
      <vt:lpstr>November!Monat.ein_aus_PikettText</vt:lpstr>
      <vt:lpstr>October!Monat.ein_aus_PikettText</vt:lpstr>
      <vt:lpstr>September!Monat.ein_aus_PikettText</vt:lpstr>
      <vt:lpstr>April!Monat.ein_ausText</vt:lpstr>
      <vt:lpstr>August!Monat.ein_ausText</vt:lpstr>
      <vt:lpstr>December!Monat.ein_ausText</vt:lpstr>
      <vt:lpstr>February!Monat.ein_ausText</vt:lpstr>
      <vt:lpstr>January!Monat.ein_ausText</vt:lpstr>
      <vt:lpstr>July!Monat.ein_ausText</vt:lpstr>
      <vt:lpstr>June!Monat.ein_ausText</vt:lpstr>
      <vt:lpstr>March!Monat.ein_ausText</vt:lpstr>
      <vt:lpstr>May!Monat.ein_ausText</vt:lpstr>
      <vt:lpstr>November!Monat.ein_ausText</vt:lpstr>
      <vt:lpstr>October!Monat.ein_ausText</vt:lpstr>
      <vt:lpstr>September!Monat.ein_ausText</vt:lpstr>
      <vt:lpstr>April!Monat.Ferien.JS</vt:lpstr>
      <vt:lpstr>August!Monat.Ferien.JS</vt:lpstr>
      <vt:lpstr>December!Monat.Ferien.JS</vt:lpstr>
      <vt:lpstr>February!Monat.Ferien.JS</vt:lpstr>
      <vt:lpstr>January!Monat.Ferien.JS</vt:lpstr>
      <vt:lpstr>July!Monat.Ferien.JS</vt:lpstr>
      <vt:lpstr>June!Monat.Ferien.JS</vt:lpstr>
      <vt:lpstr>March!Monat.Ferien.JS</vt:lpstr>
      <vt:lpstr>May!Monat.Ferien.JS</vt:lpstr>
      <vt:lpstr>November!Monat.Ferien.JS</vt:lpstr>
      <vt:lpstr>October!Monat.Ferien.JS</vt:lpstr>
      <vt:lpstr>September!Monat.Ferien.JS</vt:lpstr>
      <vt:lpstr>April!Monat.Ferien.Total</vt:lpstr>
      <vt:lpstr>August!Monat.Ferien.Total</vt:lpstr>
      <vt:lpstr>December!Monat.Ferien.Total</vt:lpstr>
      <vt:lpstr>February!Monat.Ferien.Total</vt:lpstr>
      <vt:lpstr>January!Monat.Ferien.Total</vt:lpstr>
      <vt:lpstr>July!Monat.Ferien.Total</vt:lpstr>
      <vt:lpstr>June!Monat.Ferien.Total</vt:lpstr>
      <vt:lpstr>March!Monat.Ferien.Total</vt:lpstr>
      <vt:lpstr>May!Monat.Ferien.Total</vt:lpstr>
      <vt:lpstr>November!Monat.Ferien.Total</vt:lpstr>
      <vt:lpstr>October!Monat.Ferien.Total</vt:lpstr>
      <vt:lpstr>September!Monat.Ferien.Total</vt:lpstr>
      <vt:lpstr>April!Monat.FerienKor.Total</vt:lpstr>
      <vt:lpstr>August!Monat.FerienKor.Total</vt:lpstr>
      <vt:lpstr>December!Monat.FerienKor.Total</vt:lpstr>
      <vt:lpstr>February!Monat.FerienKor.Total</vt:lpstr>
      <vt:lpstr>January!Monat.FerienKor.Total</vt:lpstr>
      <vt:lpstr>July!Monat.FerienKor.Total</vt:lpstr>
      <vt:lpstr>June!Monat.FerienKor.Total</vt:lpstr>
      <vt:lpstr>March!Monat.FerienKor.Total</vt:lpstr>
      <vt:lpstr>May!Monat.FerienKor.Total</vt:lpstr>
      <vt:lpstr>November!Monat.FerienKor.Total</vt:lpstr>
      <vt:lpstr>October!Monat.FerienKor.Total</vt:lpstr>
      <vt:lpstr>September!Monat.FerienKor.Total</vt:lpstr>
      <vt:lpstr>April!Monat.FerienText</vt:lpstr>
      <vt:lpstr>August!Monat.FerienText</vt:lpstr>
      <vt:lpstr>December!Monat.FerienText</vt:lpstr>
      <vt:lpstr>February!Monat.FerienText</vt:lpstr>
      <vt:lpstr>January!Monat.FerienText</vt:lpstr>
      <vt:lpstr>July!Monat.FerienText</vt:lpstr>
      <vt:lpstr>June!Monat.FerienText</vt:lpstr>
      <vt:lpstr>March!Monat.FerienText</vt:lpstr>
      <vt:lpstr>May!Monat.FerienText</vt:lpstr>
      <vt:lpstr>November!Monat.FerienText</vt:lpstr>
      <vt:lpstr>October!Monat.FerienText</vt:lpstr>
      <vt:lpstr>September!Monat.FerienText</vt:lpstr>
      <vt:lpstr>April!Monat.FerienUeVM</vt:lpstr>
      <vt:lpstr>August!Monat.FerienUeVM</vt:lpstr>
      <vt:lpstr>December!Monat.FerienUeVM</vt:lpstr>
      <vt:lpstr>February!Monat.FerienUeVM</vt:lpstr>
      <vt:lpstr>January!Monat.FerienUeVM</vt:lpstr>
      <vt:lpstr>July!Monat.FerienUeVM</vt:lpstr>
      <vt:lpstr>June!Monat.FerienUeVM</vt:lpstr>
      <vt:lpstr>March!Monat.FerienUeVM</vt:lpstr>
      <vt:lpstr>May!Monat.FerienUeVM</vt:lpstr>
      <vt:lpstr>November!Monat.FerienUeVM</vt:lpstr>
      <vt:lpstr>October!Monat.FerienUeVM</vt:lpstr>
      <vt:lpstr>September!Monat.FerienUeVM</vt:lpstr>
      <vt:lpstr>April!Monat.Kom.JS</vt:lpstr>
      <vt:lpstr>August!Monat.Kom.JS</vt:lpstr>
      <vt:lpstr>December!Monat.Kom.JS</vt:lpstr>
      <vt:lpstr>February!Monat.Kom.JS</vt:lpstr>
      <vt:lpstr>January!Monat.Kom.JS</vt:lpstr>
      <vt:lpstr>July!Monat.Kom.JS</vt:lpstr>
      <vt:lpstr>June!Monat.Kom.JS</vt:lpstr>
      <vt:lpstr>March!Monat.Kom.JS</vt:lpstr>
      <vt:lpstr>May!Monat.Kom.JS</vt:lpstr>
      <vt:lpstr>November!Monat.Kom.JS</vt:lpstr>
      <vt:lpstr>October!Monat.Kom.JS</vt:lpstr>
      <vt:lpstr>September!Monat.Kom.JS</vt:lpstr>
      <vt:lpstr>April!Monat.KomAZ.Total</vt:lpstr>
      <vt:lpstr>August!Monat.KomAZ.Total</vt:lpstr>
      <vt:lpstr>December!Monat.KomAZ.Total</vt:lpstr>
      <vt:lpstr>February!Monat.KomAZ.Total</vt:lpstr>
      <vt:lpstr>January!Monat.KomAZ.Total</vt:lpstr>
      <vt:lpstr>July!Monat.KomAZ.Total</vt:lpstr>
      <vt:lpstr>June!Monat.KomAZ.Total</vt:lpstr>
      <vt:lpstr>March!Monat.KomAZ.Total</vt:lpstr>
      <vt:lpstr>May!Monat.KomAZ.Total</vt:lpstr>
      <vt:lpstr>November!Monat.KomAZ.Total</vt:lpstr>
      <vt:lpstr>October!Monat.KomAZ.Total</vt:lpstr>
      <vt:lpstr>September!Monat.KomAZ.Total</vt:lpstr>
      <vt:lpstr>April!Monat.KomAZText</vt:lpstr>
      <vt:lpstr>August!Monat.KomAZText</vt:lpstr>
      <vt:lpstr>December!Monat.KomAZText</vt:lpstr>
      <vt:lpstr>February!Monat.KomAZText</vt:lpstr>
      <vt:lpstr>January!Monat.KomAZText</vt:lpstr>
      <vt:lpstr>July!Monat.KomAZText</vt:lpstr>
      <vt:lpstr>June!Monat.KomAZText</vt:lpstr>
      <vt:lpstr>March!Monat.KomAZText</vt:lpstr>
      <vt:lpstr>May!Monat.KomAZText</vt:lpstr>
      <vt:lpstr>November!Monat.KomAZText</vt:lpstr>
      <vt:lpstr>October!Monat.KomAZText</vt:lpstr>
      <vt:lpstr>September!Monat.KomAZText</vt:lpstr>
      <vt:lpstr>April!Monat.KompAZInd.UeVM</vt:lpstr>
      <vt:lpstr>August!Monat.KompAZInd.UeVM</vt:lpstr>
      <vt:lpstr>December!Monat.KompAZInd.UeVM</vt:lpstr>
      <vt:lpstr>February!Monat.KompAZInd.UeVM</vt:lpstr>
      <vt:lpstr>January!Monat.KompAZInd.UeVM</vt:lpstr>
      <vt:lpstr>July!Monat.KompAZInd.UeVM</vt:lpstr>
      <vt:lpstr>June!Monat.KompAZInd.UeVM</vt:lpstr>
      <vt:lpstr>March!Monat.KompAZInd.UeVM</vt:lpstr>
      <vt:lpstr>May!Monat.KompAZInd.UeVM</vt:lpstr>
      <vt:lpstr>November!Monat.KompAZInd.UeVM</vt:lpstr>
      <vt:lpstr>October!Monat.KompAZInd.UeVM</vt:lpstr>
      <vt:lpstr>September!Monat.KompAZInd.UeVM</vt:lpstr>
      <vt:lpstr>April!Monat.KompZZSND.Total</vt:lpstr>
      <vt:lpstr>August!Monat.KompZZSND.Total</vt:lpstr>
      <vt:lpstr>December!Monat.KompZZSND.Total</vt:lpstr>
      <vt:lpstr>February!Monat.KompZZSND.Total</vt:lpstr>
      <vt:lpstr>January!Monat.KompZZSND.Total</vt:lpstr>
      <vt:lpstr>July!Monat.KompZZSND.Total</vt:lpstr>
      <vt:lpstr>June!Monat.KompZZSND.Total</vt:lpstr>
      <vt:lpstr>March!Monat.KompZZSND.Total</vt:lpstr>
      <vt:lpstr>May!Monat.KompZZSND.Total</vt:lpstr>
      <vt:lpstr>November!Monat.KompZZSND.Total</vt:lpstr>
      <vt:lpstr>October!Monat.KompZZSND.Total</vt:lpstr>
      <vt:lpstr>September!Monat.KompZZSND.Total</vt:lpstr>
      <vt:lpstr>April!Monat.KompZZSNDText</vt:lpstr>
      <vt:lpstr>August!Monat.KompZZSNDText</vt:lpstr>
      <vt:lpstr>December!Monat.KompZZSNDText</vt:lpstr>
      <vt:lpstr>February!Monat.KompZZSNDText</vt:lpstr>
      <vt:lpstr>January!Monat.KompZZSNDText</vt:lpstr>
      <vt:lpstr>July!Monat.KompZZSNDText</vt:lpstr>
      <vt:lpstr>June!Monat.KompZZSNDText</vt:lpstr>
      <vt:lpstr>March!Monat.KompZZSNDText</vt:lpstr>
      <vt:lpstr>May!Monat.KompZZSNDText</vt:lpstr>
      <vt:lpstr>November!Monat.KompZZSNDText</vt:lpstr>
      <vt:lpstr>October!Monat.KompZZSNDText</vt:lpstr>
      <vt:lpstr>September!Monat.KompZZSNDText</vt:lpstr>
      <vt:lpstr>April!Monat.KompZZSNDUeVM</vt:lpstr>
      <vt:lpstr>August!Monat.KompZZSNDUeVM</vt:lpstr>
      <vt:lpstr>December!Monat.KompZZSNDUeVM</vt:lpstr>
      <vt:lpstr>February!Monat.KompZZSNDUeVM</vt:lpstr>
      <vt:lpstr>January!Monat.KompZZSNDUeVM</vt:lpstr>
      <vt:lpstr>July!Monat.KompZZSNDUeVM</vt:lpstr>
      <vt:lpstr>June!Monat.KompZZSNDUeVM</vt:lpstr>
      <vt:lpstr>March!Monat.KompZZSNDUeVM</vt:lpstr>
      <vt:lpstr>May!Monat.KompZZSNDUeVM</vt:lpstr>
      <vt:lpstr>November!Monat.KompZZSNDUeVM</vt:lpstr>
      <vt:lpstr>October!Monat.KompZZSNDUeVM</vt:lpstr>
      <vt:lpstr>September!Monat.KompZZSNDUeVM</vt:lpstr>
      <vt:lpstr>April!Monat.KomUeVM</vt:lpstr>
      <vt:lpstr>August!Monat.KomUeVM</vt:lpstr>
      <vt:lpstr>December!Monat.KomUeVM</vt:lpstr>
      <vt:lpstr>February!Monat.KomUeVM</vt:lpstr>
      <vt:lpstr>January!Monat.KomUeVM</vt:lpstr>
      <vt:lpstr>July!Monat.KomUeVM</vt:lpstr>
      <vt:lpstr>June!Monat.KomUeVM</vt:lpstr>
      <vt:lpstr>March!Monat.KomUeVM</vt:lpstr>
      <vt:lpstr>May!Monat.KomUeVM</vt:lpstr>
      <vt:lpstr>November!Monat.KomUeVM</vt:lpstr>
      <vt:lpstr>October!Monat.KomUeVM</vt:lpstr>
      <vt:lpstr>September!Monat.KomUeVM</vt:lpstr>
      <vt:lpstr>April!Monat.KomUeZ.Total</vt:lpstr>
      <vt:lpstr>August!Monat.KomUeZ.Total</vt:lpstr>
      <vt:lpstr>December!Monat.KomUeZ.Total</vt:lpstr>
      <vt:lpstr>February!Monat.KomUeZ.Total</vt:lpstr>
      <vt:lpstr>January!Monat.KomUeZ.Total</vt:lpstr>
      <vt:lpstr>July!Monat.KomUeZ.Total</vt:lpstr>
      <vt:lpstr>June!Monat.KomUeZ.Total</vt:lpstr>
      <vt:lpstr>March!Monat.KomUeZ.Total</vt:lpstr>
      <vt:lpstr>May!Monat.KomUeZ.Total</vt:lpstr>
      <vt:lpstr>November!Monat.KomUeZ.Total</vt:lpstr>
      <vt:lpstr>October!Monat.KomUeZ.Total</vt:lpstr>
      <vt:lpstr>September!Monat.KomUeZ.Total</vt:lpstr>
      <vt:lpstr>April!Monat.KomUeZText</vt:lpstr>
      <vt:lpstr>August!Monat.KomUeZText</vt:lpstr>
      <vt:lpstr>December!Monat.KomUeZText</vt:lpstr>
      <vt:lpstr>February!Monat.KomUeZText</vt:lpstr>
      <vt:lpstr>January!Monat.KomUeZText</vt:lpstr>
      <vt:lpstr>July!Monat.KomUeZText</vt:lpstr>
      <vt:lpstr>June!Monat.KomUeZText</vt:lpstr>
      <vt:lpstr>March!Monat.KomUeZText</vt:lpstr>
      <vt:lpstr>May!Monat.KomUeZText</vt:lpstr>
      <vt:lpstr>November!Monat.KomUeZText</vt:lpstr>
      <vt:lpstr>October!Monat.KomUeZText</vt:lpstr>
      <vt:lpstr>September!Monat.KomUeZText</vt:lpstr>
      <vt:lpstr>April!Monat.Krank.Total</vt:lpstr>
      <vt:lpstr>August!Monat.Krank.Total</vt:lpstr>
      <vt:lpstr>December!Monat.Krank.Total</vt:lpstr>
      <vt:lpstr>February!Monat.Krank.Total</vt:lpstr>
      <vt:lpstr>January!Monat.Krank.Total</vt:lpstr>
      <vt:lpstr>July!Monat.Krank.Total</vt:lpstr>
      <vt:lpstr>June!Monat.Krank.Total</vt:lpstr>
      <vt:lpstr>March!Monat.Krank.Total</vt:lpstr>
      <vt:lpstr>May!Monat.Krank.Total</vt:lpstr>
      <vt:lpstr>November!Monat.Krank.Total</vt:lpstr>
      <vt:lpstr>October!Monat.Krank.Total</vt:lpstr>
      <vt:lpstr>September!Monat.Krank.Total</vt:lpstr>
      <vt:lpstr>April!Monat.KrankText</vt:lpstr>
      <vt:lpstr>August!Monat.KrankText</vt:lpstr>
      <vt:lpstr>December!Monat.KrankText</vt:lpstr>
      <vt:lpstr>February!Monat.KrankText</vt:lpstr>
      <vt:lpstr>January!Monat.KrankText</vt:lpstr>
      <vt:lpstr>July!Monat.KrankText</vt:lpstr>
      <vt:lpstr>June!Monat.KrankText</vt:lpstr>
      <vt:lpstr>March!Monat.KrankText</vt:lpstr>
      <vt:lpstr>May!Monat.KrankText</vt:lpstr>
      <vt:lpstr>November!Monat.KrankText</vt:lpstr>
      <vt:lpstr>October!Monat.KrankText</vt:lpstr>
      <vt:lpstr>September!Monat.KrankText</vt:lpstr>
      <vt:lpstr>April!Monat.KrankUeVM</vt:lpstr>
      <vt:lpstr>August!Monat.KrankUeVM</vt:lpstr>
      <vt:lpstr>December!Monat.KrankUeVM</vt:lpstr>
      <vt:lpstr>February!Monat.KrankUeVM</vt:lpstr>
      <vt:lpstr>January!Monat.KrankUeVM</vt:lpstr>
      <vt:lpstr>July!Monat.KrankUeVM</vt:lpstr>
      <vt:lpstr>June!Monat.KrankUeVM</vt:lpstr>
      <vt:lpstr>March!Monat.KrankUeVM</vt:lpstr>
      <vt:lpstr>May!Monat.KrankUeVM</vt:lpstr>
      <vt:lpstr>November!Monat.KrankUeVM</vt:lpstr>
      <vt:lpstr>October!Monat.KrankUeVM</vt:lpstr>
      <vt:lpstr>September!Monat.KrankUeVM</vt:lpstr>
      <vt:lpstr>April!Monat.Militaer.Total</vt:lpstr>
      <vt:lpstr>August!Monat.Militaer.Total</vt:lpstr>
      <vt:lpstr>December!Monat.Militaer.Total</vt:lpstr>
      <vt:lpstr>February!Monat.Militaer.Total</vt:lpstr>
      <vt:lpstr>January!Monat.Militaer.Total</vt:lpstr>
      <vt:lpstr>July!Monat.Militaer.Total</vt:lpstr>
      <vt:lpstr>June!Monat.Militaer.Total</vt:lpstr>
      <vt:lpstr>March!Monat.Militaer.Total</vt:lpstr>
      <vt:lpstr>May!Monat.Militaer.Total</vt:lpstr>
      <vt:lpstr>November!Monat.Militaer.Total</vt:lpstr>
      <vt:lpstr>October!Monat.Militaer.Total</vt:lpstr>
      <vt:lpstr>September!Monat.Militaer.Total</vt:lpstr>
      <vt:lpstr>April!Monat.MMS.Total</vt:lpstr>
      <vt:lpstr>August!Monat.MMS.Total</vt:lpstr>
      <vt:lpstr>December!Monat.MMS.Total</vt:lpstr>
      <vt:lpstr>February!Monat.MMS.Total</vt:lpstr>
      <vt:lpstr>January!Monat.MMS.Total</vt:lpstr>
      <vt:lpstr>July!Monat.MMS.Total</vt:lpstr>
      <vt:lpstr>June!Monat.MMS.Total</vt:lpstr>
      <vt:lpstr>March!Monat.MMS.Total</vt:lpstr>
      <vt:lpstr>May!Monat.MMS.Total</vt:lpstr>
      <vt:lpstr>November!Monat.MMS.Total</vt:lpstr>
      <vt:lpstr>October!Monat.MMS.Total</vt:lpstr>
      <vt:lpstr>September!Monat.MMS.Total</vt:lpstr>
      <vt:lpstr>April!Monat.MMS.UeVM</vt:lpstr>
      <vt:lpstr>August!Monat.MMS.UeVM</vt:lpstr>
      <vt:lpstr>December!Monat.MMS.UeVM</vt:lpstr>
      <vt:lpstr>February!Monat.MMS.UeVM</vt:lpstr>
      <vt:lpstr>January!Monat.MMS.UeVM</vt:lpstr>
      <vt:lpstr>July!Monat.MMS.UeVM</vt:lpstr>
      <vt:lpstr>June!Monat.MMS.UeVM</vt:lpstr>
      <vt:lpstr>March!Monat.MMS.UeVM</vt:lpstr>
      <vt:lpstr>May!Monat.MMS.UeVM</vt:lpstr>
      <vt:lpstr>November!Monat.MMS.UeVM</vt:lpstr>
      <vt:lpstr>October!Monat.MMS.UeVM</vt:lpstr>
      <vt:lpstr>September!Monat.MMS.UeVM</vt:lpstr>
      <vt:lpstr>April!Monat.MZSText</vt:lpstr>
      <vt:lpstr>August!Monat.MZSText</vt:lpstr>
      <vt:lpstr>December!Monat.MZSText</vt:lpstr>
      <vt:lpstr>February!Monat.MZSText</vt:lpstr>
      <vt:lpstr>January!Monat.MZSText</vt:lpstr>
      <vt:lpstr>July!Monat.MZSText</vt:lpstr>
      <vt:lpstr>June!Monat.MZSText</vt:lpstr>
      <vt:lpstr>March!Monat.MZSText</vt:lpstr>
      <vt:lpstr>May!Monat.MZSText</vt:lpstr>
      <vt:lpstr>November!Monat.MZSText</vt:lpstr>
      <vt:lpstr>October!Monat.MZSText</vt:lpstr>
      <vt:lpstr>September!Monat.MZSText</vt:lpstr>
      <vt:lpstr>April!Monat.MZSUeVM</vt:lpstr>
      <vt:lpstr>August!Monat.MZSUeVM</vt:lpstr>
      <vt:lpstr>December!Monat.MZSUeVM</vt:lpstr>
      <vt:lpstr>February!Monat.MZSUeVM</vt:lpstr>
      <vt:lpstr>January!Monat.MZSUeVM</vt:lpstr>
      <vt:lpstr>July!Monat.MZSUeVM</vt:lpstr>
      <vt:lpstr>June!Monat.MZSUeVM</vt:lpstr>
      <vt:lpstr>March!Monat.MZSUeVM</vt:lpstr>
      <vt:lpstr>May!Monat.MZSUeVM</vt:lpstr>
      <vt:lpstr>November!Monat.MZSUeVM</vt:lpstr>
      <vt:lpstr>October!Monat.MZSUeVM</vt:lpstr>
      <vt:lpstr>September!Monat.MZSUeVM</vt:lpstr>
      <vt:lpstr>April!Monat.NB.Total</vt:lpstr>
      <vt:lpstr>August!Monat.NB.Total</vt:lpstr>
      <vt:lpstr>December!Monat.NB.Total</vt:lpstr>
      <vt:lpstr>February!Monat.NB.Total</vt:lpstr>
      <vt:lpstr>January!Monat.NB.Total</vt:lpstr>
      <vt:lpstr>July!Monat.NB.Total</vt:lpstr>
      <vt:lpstr>June!Monat.NB.Total</vt:lpstr>
      <vt:lpstr>March!Monat.NB.Total</vt:lpstr>
      <vt:lpstr>May!Monat.NB.Total</vt:lpstr>
      <vt:lpstr>November!Monat.NB.Total</vt:lpstr>
      <vt:lpstr>October!Monat.NB.Total</vt:lpstr>
      <vt:lpstr>September!Monat.NB.Total</vt:lpstr>
      <vt:lpstr>April!Monat.NBText</vt:lpstr>
      <vt:lpstr>August!Monat.NBText</vt:lpstr>
      <vt:lpstr>December!Monat.NBText</vt:lpstr>
      <vt:lpstr>February!Monat.NBText</vt:lpstr>
      <vt:lpstr>January!Monat.NBText</vt:lpstr>
      <vt:lpstr>July!Monat.NBText</vt:lpstr>
      <vt:lpstr>June!Monat.NBText</vt:lpstr>
      <vt:lpstr>March!Monat.NBText</vt:lpstr>
      <vt:lpstr>May!Monat.NBText</vt:lpstr>
      <vt:lpstr>November!Monat.NBText</vt:lpstr>
      <vt:lpstr>October!Monat.NBText</vt:lpstr>
      <vt:lpstr>September!Monat.NBText</vt:lpstr>
      <vt:lpstr>April!Monat.NBU.Total</vt:lpstr>
      <vt:lpstr>August!Monat.NBU.Total</vt:lpstr>
      <vt:lpstr>December!Monat.NBU.Total</vt:lpstr>
      <vt:lpstr>February!Monat.NBU.Total</vt:lpstr>
      <vt:lpstr>January!Monat.NBU.Total</vt:lpstr>
      <vt:lpstr>July!Monat.NBU.Total</vt:lpstr>
      <vt:lpstr>June!Monat.NBU.Total</vt:lpstr>
      <vt:lpstr>March!Monat.NBU.Total</vt:lpstr>
      <vt:lpstr>May!Monat.NBU.Total</vt:lpstr>
      <vt:lpstr>November!Monat.NBU.Total</vt:lpstr>
      <vt:lpstr>October!Monat.NBU.Total</vt:lpstr>
      <vt:lpstr>September!Monat.NBU.Total</vt:lpstr>
      <vt:lpstr>April!Monat.NBUeVM</vt:lpstr>
      <vt:lpstr>August!Monat.NBUeVM</vt:lpstr>
      <vt:lpstr>December!Monat.NBUeVM</vt:lpstr>
      <vt:lpstr>February!Monat.NBUeVM</vt:lpstr>
      <vt:lpstr>January!Monat.NBUeVM</vt:lpstr>
      <vt:lpstr>July!Monat.NBUeVM</vt:lpstr>
      <vt:lpstr>June!Monat.NBUeVM</vt:lpstr>
      <vt:lpstr>March!Monat.NBUeVM</vt:lpstr>
      <vt:lpstr>May!Monat.NBUeVM</vt:lpstr>
      <vt:lpstr>November!Monat.NBUeVM</vt:lpstr>
      <vt:lpstr>October!Monat.NBUeVM</vt:lpstr>
      <vt:lpstr>September!Monat.NBUeVM</vt:lpstr>
      <vt:lpstr>April!Monat.NBUText</vt:lpstr>
      <vt:lpstr>August!Monat.NBUText</vt:lpstr>
      <vt:lpstr>December!Monat.NBUText</vt:lpstr>
      <vt:lpstr>February!Monat.NBUText</vt:lpstr>
      <vt:lpstr>January!Monat.NBUText</vt:lpstr>
      <vt:lpstr>July!Monat.NBUText</vt:lpstr>
      <vt:lpstr>June!Monat.NBUText</vt:lpstr>
      <vt:lpstr>March!Monat.NBUText</vt:lpstr>
      <vt:lpstr>May!Monat.NBUText</vt:lpstr>
      <vt:lpstr>November!Monat.NBUText</vt:lpstr>
      <vt:lpstr>October!Monat.NBUText</vt:lpstr>
      <vt:lpstr>September!Monat.NBUText</vt:lpstr>
      <vt:lpstr>April!Monat.NBUUeVM</vt:lpstr>
      <vt:lpstr>August!Monat.NBUUeVM</vt:lpstr>
      <vt:lpstr>December!Monat.NBUUeVM</vt:lpstr>
      <vt:lpstr>February!Monat.NBUUeVM</vt:lpstr>
      <vt:lpstr>January!Monat.NBUUeVM</vt:lpstr>
      <vt:lpstr>July!Monat.NBUUeVM</vt:lpstr>
      <vt:lpstr>June!Monat.NBUUeVM</vt:lpstr>
      <vt:lpstr>March!Monat.NBUUeVM</vt:lpstr>
      <vt:lpstr>May!Monat.NBUUeVM</vt:lpstr>
      <vt:lpstr>November!Monat.NBUUeVM</vt:lpstr>
      <vt:lpstr>October!Monat.NBUUeVM</vt:lpstr>
      <vt:lpstr>September!Monat.NBUUeVM</vt:lpstr>
      <vt:lpstr>April!Monat.ND.Total</vt:lpstr>
      <vt:lpstr>August!Monat.ND.Total</vt:lpstr>
      <vt:lpstr>December!Monat.ND.Total</vt:lpstr>
      <vt:lpstr>February!Monat.ND.Total</vt:lpstr>
      <vt:lpstr>January!Monat.ND.Total</vt:lpstr>
      <vt:lpstr>July!Monat.ND.Total</vt:lpstr>
      <vt:lpstr>June!Monat.ND.Total</vt:lpstr>
      <vt:lpstr>March!Monat.ND.Total</vt:lpstr>
      <vt:lpstr>May!Monat.ND.Total</vt:lpstr>
      <vt:lpstr>November!Monat.ND.Total</vt:lpstr>
      <vt:lpstr>October!Monat.ND.Total</vt:lpstr>
      <vt:lpstr>September!Monat.ND.Total</vt:lpstr>
      <vt:lpstr>April!Monat.NDgesternTag1</vt:lpstr>
      <vt:lpstr>August!Monat.NDgesternTag1</vt:lpstr>
      <vt:lpstr>December!Monat.NDgesternTag1</vt:lpstr>
      <vt:lpstr>February!Monat.NDgesternTag1</vt:lpstr>
      <vt:lpstr>January!Monat.NDgesternTag1</vt:lpstr>
      <vt:lpstr>July!Monat.NDgesternTag1</vt:lpstr>
      <vt:lpstr>June!Monat.NDgesternTag1</vt:lpstr>
      <vt:lpstr>March!Monat.NDgesternTag1</vt:lpstr>
      <vt:lpstr>May!Monat.NDgesternTag1</vt:lpstr>
      <vt:lpstr>November!Monat.NDgesternTag1</vt:lpstr>
      <vt:lpstr>October!Monat.NDgesternTag1</vt:lpstr>
      <vt:lpstr>September!Monat.NDgesternTag1</vt:lpstr>
      <vt:lpstr>April!Monat.NDText</vt:lpstr>
      <vt:lpstr>August!Monat.NDText</vt:lpstr>
      <vt:lpstr>December!Monat.NDText</vt:lpstr>
      <vt:lpstr>February!Monat.NDText</vt:lpstr>
      <vt:lpstr>January!Monat.NDText</vt:lpstr>
      <vt:lpstr>July!Monat.NDText</vt:lpstr>
      <vt:lpstr>June!Monat.NDText</vt:lpstr>
      <vt:lpstr>March!Monat.NDText</vt:lpstr>
      <vt:lpstr>May!Monat.NDText</vt:lpstr>
      <vt:lpstr>November!Monat.NDText</vt:lpstr>
      <vt:lpstr>October!Monat.NDText</vt:lpstr>
      <vt:lpstr>September!Monat.NDText</vt:lpstr>
      <vt:lpstr>April!Monat.NDUeVM</vt:lpstr>
      <vt:lpstr>August!Monat.NDUeVM</vt:lpstr>
      <vt:lpstr>December!Monat.NDUeVM</vt:lpstr>
      <vt:lpstr>February!Monat.NDUeVM</vt:lpstr>
      <vt:lpstr>January!Monat.NDUeVM</vt:lpstr>
      <vt:lpstr>July!Monat.NDUeVM</vt:lpstr>
      <vt:lpstr>June!Monat.NDUeVM</vt:lpstr>
      <vt:lpstr>March!Monat.NDUeVM</vt:lpstr>
      <vt:lpstr>May!Monat.NDUeVM</vt:lpstr>
      <vt:lpstr>November!Monat.NDUeVM</vt:lpstr>
      <vt:lpstr>October!Monat.NDUeVM</vt:lpstr>
      <vt:lpstr>September!Monat.NDUeVM</vt:lpstr>
      <vt:lpstr>April!Monat.P10UeVM</vt:lpstr>
      <vt:lpstr>August!Monat.P10UeVM</vt:lpstr>
      <vt:lpstr>December!Monat.P10UeVM</vt:lpstr>
      <vt:lpstr>February!Monat.P10UeVM</vt:lpstr>
      <vt:lpstr>January!Monat.P10UeVM</vt:lpstr>
      <vt:lpstr>July!Monat.P10UeVM</vt:lpstr>
      <vt:lpstr>June!Monat.P10UeVM</vt:lpstr>
      <vt:lpstr>March!Monat.P10UeVM</vt:lpstr>
      <vt:lpstr>May!Monat.P10UeVM</vt:lpstr>
      <vt:lpstr>November!Monat.P10UeVM</vt:lpstr>
      <vt:lpstr>October!Monat.P10UeVM</vt:lpstr>
      <vt:lpstr>September!Monat.P10UeVM</vt:lpstr>
      <vt:lpstr>April!Monat.P11UeVM</vt:lpstr>
      <vt:lpstr>August!Monat.P11UeVM</vt:lpstr>
      <vt:lpstr>December!Monat.P11UeVM</vt:lpstr>
      <vt:lpstr>February!Monat.P11UeVM</vt:lpstr>
      <vt:lpstr>January!Monat.P11UeVM</vt:lpstr>
      <vt:lpstr>July!Monat.P11UeVM</vt:lpstr>
      <vt:lpstr>June!Monat.P11UeVM</vt:lpstr>
      <vt:lpstr>March!Monat.P11UeVM</vt:lpstr>
      <vt:lpstr>May!Monat.P11UeVM</vt:lpstr>
      <vt:lpstr>November!Monat.P11UeVM</vt:lpstr>
      <vt:lpstr>October!Monat.P11UeVM</vt:lpstr>
      <vt:lpstr>September!Monat.P11UeVM</vt:lpstr>
      <vt:lpstr>April!Monat.P12UeVM</vt:lpstr>
      <vt:lpstr>August!Monat.P12UeVM</vt:lpstr>
      <vt:lpstr>December!Monat.P12UeVM</vt:lpstr>
      <vt:lpstr>February!Monat.P12UeVM</vt:lpstr>
      <vt:lpstr>January!Monat.P12UeVM</vt:lpstr>
      <vt:lpstr>July!Monat.P12UeVM</vt:lpstr>
      <vt:lpstr>June!Monat.P12UeVM</vt:lpstr>
      <vt:lpstr>March!Monat.P12UeVM</vt:lpstr>
      <vt:lpstr>May!Monat.P12UeVM</vt:lpstr>
      <vt:lpstr>November!Monat.P12UeVM</vt:lpstr>
      <vt:lpstr>October!Monat.P12UeVM</vt:lpstr>
      <vt:lpstr>September!Monat.P12UeVM</vt:lpstr>
      <vt:lpstr>April!Monat.P13UeVM</vt:lpstr>
      <vt:lpstr>August!Monat.P13UeVM</vt:lpstr>
      <vt:lpstr>December!Monat.P13UeVM</vt:lpstr>
      <vt:lpstr>February!Monat.P13UeVM</vt:lpstr>
      <vt:lpstr>January!Monat.P13UeVM</vt:lpstr>
      <vt:lpstr>July!Monat.P13UeVM</vt:lpstr>
      <vt:lpstr>June!Monat.P13UeVM</vt:lpstr>
      <vt:lpstr>March!Monat.P13UeVM</vt:lpstr>
      <vt:lpstr>May!Monat.P13UeVM</vt:lpstr>
      <vt:lpstr>November!Monat.P13UeVM</vt:lpstr>
      <vt:lpstr>October!Monat.P13UeVM</vt:lpstr>
      <vt:lpstr>September!Monat.P13UeVM</vt:lpstr>
      <vt:lpstr>April!Monat.P14UeVM</vt:lpstr>
      <vt:lpstr>August!Monat.P14UeVM</vt:lpstr>
      <vt:lpstr>December!Monat.P14UeVM</vt:lpstr>
      <vt:lpstr>February!Monat.P14UeVM</vt:lpstr>
      <vt:lpstr>January!Monat.P14UeVM</vt:lpstr>
      <vt:lpstr>July!Monat.P14UeVM</vt:lpstr>
      <vt:lpstr>June!Monat.P14UeVM</vt:lpstr>
      <vt:lpstr>March!Monat.P14UeVM</vt:lpstr>
      <vt:lpstr>May!Monat.P14UeVM</vt:lpstr>
      <vt:lpstr>November!Monat.P14UeVM</vt:lpstr>
      <vt:lpstr>October!Monat.P14UeVM</vt:lpstr>
      <vt:lpstr>September!Monat.P14UeVM</vt:lpstr>
      <vt:lpstr>April!Monat.P15UeVM</vt:lpstr>
      <vt:lpstr>August!Monat.P15UeVM</vt:lpstr>
      <vt:lpstr>December!Monat.P15UeVM</vt:lpstr>
      <vt:lpstr>February!Monat.P15UeVM</vt:lpstr>
      <vt:lpstr>January!Monat.P15UeVM</vt:lpstr>
      <vt:lpstr>July!Monat.P15UeVM</vt:lpstr>
      <vt:lpstr>June!Monat.P15UeVM</vt:lpstr>
      <vt:lpstr>March!Monat.P15UeVM</vt:lpstr>
      <vt:lpstr>May!Monat.P15UeVM</vt:lpstr>
      <vt:lpstr>November!Monat.P15UeVM</vt:lpstr>
      <vt:lpstr>October!Monat.P15UeVM</vt:lpstr>
      <vt:lpstr>September!Monat.P15UeVM</vt:lpstr>
      <vt:lpstr>April!Monat.P1UeVM</vt:lpstr>
      <vt:lpstr>August!Monat.P1UeVM</vt:lpstr>
      <vt:lpstr>December!Monat.P1UeVM</vt:lpstr>
      <vt:lpstr>February!Monat.P1UeVM</vt:lpstr>
      <vt:lpstr>January!Monat.P1UeVM</vt:lpstr>
      <vt:lpstr>July!Monat.P1UeVM</vt:lpstr>
      <vt:lpstr>June!Monat.P1UeVM</vt:lpstr>
      <vt:lpstr>March!Monat.P1UeVM</vt:lpstr>
      <vt:lpstr>May!Monat.P1UeVM</vt:lpstr>
      <vt:lpstr>November!Monat.P1UeVM</vt:lpstr>
      <vt:lpstr>October!Monat.P1UeVM</vt:lpstr>
      <vt:lpstr>September!Monat.P1UeVM</vt:lpstr>
      <vt:lpstr>April!Monat.P2UeVM</vt:lpstr>
      <vt:lpstr>August!Monat.P2UeVM</vt:lpstr>
      <vt:lpstr>December!Monat.P2UeVM</vt:lpstr>
      <vt:lpstr>February!Monat.P2UeVM</vt:lpstr>
      <vt:lpstr>January!Monat.P2UeVM</vt:lpstr>
      <vt:lpstr>July!Monat.P2UeVM</vt:lpstr>
      <vt:lpstr>June!Monat.P2UeVM</vt:lpstr>
      <vt:lpstr>March!Monat.P2UeVM</vt:lpstr>
      <vt:lpstr>May!Monat.P2UeVM</vt:lpstr>
      <vt:lpstr>November!Monat.P2UeVM</vt:lpstr>
      <vt:lpstr>October!Monat.P2UeVM</vt:lpstr>
      <vt:lpstr>September!Monat.P2UeVM</vt:lpstr>
      <vt:lpstr>April!Monat.P3UeVM</vt:lpstr>
      <vt:lpstr>August!Monat.P3UeVM</vt:lpstr>
      <vt:lpstr>December!Monat.P3UeVM</vt:lpstr>
      <vt:lpstr>February!Monat.P3UeVM</vt:lpstr>
      <vt:lpstr>January!Monat.P3UeVM</vt:lpstr>
      <vt:lpstr>July!Monat.P3UeVM</vt:lpstr>
      <vt:lpstr>June!Monat.P3UeVM</vt:lpstr>
      <vt:lpstr>March!Monat.P3UeVM</vt:lpstr>
      <vt:lpstr>May!Monat.P3UeVM</vt:lpstr>
      <vt:lpstr>November!Monat.P3UeVM</vt:lpstr>
      <vt:lpstr>October!Monat.P3UeVM</vt:lpstr>
      <vt:lpstr>September!Monat.P3UeVM</vt:lpstr>
      <vt:lpstr>April!Monat.P4UeVM</vt:lpstr>
      <vt:lpstr>August!Monat.P4UeVM</vt:lpstr>
      <vt:lpstr>December!Monat.P4UeVM</vt:lpstr>
      <vt:lpstr>February!Monat.P4UeVM</vt:lpstr>
      <vt:lpstr>January!Monat.P4UeVM</vt:lpstr>
      <vt:lpstr>July!Monat.P4UeVM</vt:lpstr>
      <vt:lpstr>June!Monat.P4UeVM</vt:lpstr>
      <vt:lpstr>March!Monat.P4UeVM</vt:lpstr>
      <vt:lpstr>May!Monat.P4UeVM</vt:lpstr>
      <vt:lpstr>November!Monat.P4UeVM</vt:lpstr>
      <vt:lpstr>October!Monat.P4UeVM</vt:lpstr>
      <vt:lpstr>September!Monat.P4UeVM</vt:lpstr>
      <vt:lpstr>April!Monat.P5UeVM</vt:lpstr>
      <vt:lpstr>August!Monat.P5UeVM</vt:lpstr>
      <vt:lpstr>December!Monat.P5UeVM</vt:lpstr>
      <vt:lpstr>February!Monat.P5UeVM</vt:lpstr>
      <vt:lpstr>January!Monat.P5UeVM</vt:lpstr>
      <vt:lpstr>July!Monat.P5UeVM</vt:lpstr>
      <vt:lpstr>June!Monat.P5UeVM</vt:lpstr>
      <vt:lpstr>March!Monat.P5UeVM</vt:lpstr>
      <vt:lpstr>May!Monat.P5UeVM</vt:lpstr>
      <vt:lpstr>November!Monat.P5UeVM</vt:lpstr>
      <vt:lpstr>October!Monat.P5UeVM</vt:lpstr>
      <vt:lpstr>September!Monat.P5UeVM</vt:lpstr>
      <vt:lpstr>April!Monat.P6UeVM</vt:lpstr>
      <vt:lpstr>August!Monat.P6UeVM</vt:lpstr>
      <vt:lpstr>December!Monat.P6UeVM</vt:lpstr>
      <vt:lpstr>February!Monat.P6UeVM</vt:lpstr>
      <vt:lpstr>January!Monat.P6UeVM</vt:lpstr>
      <vt:lpstr>July!Monat.P6UeVM</vt:lpstr>
      <vt:lpstr>June!Monat.P6UeVM</vt:lpstr>
      <vt:lpstr>March!Monat.P6UeVM</vt:lpstr>
      <vt:lpstr>May!Monat.P6UeVM</vt:lpstr>
      <vt:lpstr>November!Monat.P6UeVM</vt:lpstr>
      <vt:lpstr>October!Monat.P6UeVM</vt:lpstr>
      <vt:lpstr>September!Monat.P6UeVM</vt:lpstr>
      <vt:lpstr>April!Monat.P7UeVM</vt:lpstr>
      <vt:lpstr>August!Monat.P7UeVM</vt:lpstr>
      <vt:lpstr>December!Monat.P7UeVM</vt:lpstr>
      <vt:lpstr>February!Monat.P7UeVM</vt:lpstr>
      <vt:lpstr>January!Monat.P7UeVM</vt:lpstr>
      <vt:lpstr>July!Monat.P7UeVM</vt:lpstr>
      <vt:lpstr>June!Monat.P7UeVM</vt:lpstr>
      <vt:lpstr>March!Monat.P7UeVM</vt:lpstr>
      <vt:lpstr>May!Monat.P7UeVM</vt:lpstr>
      <vt:lpstr>November!Monat.P7UeVM</vt:lpstr>
      <vt:lpstr>October!Monat.P7UeVM</vt:lpstr>
      <vt:lpstr>September!Monat.P7UeVM</vt:lpstr>
      <vt:lpstr>April!Monat.P8UeVM</vt:lpstr>
      <vt:lpstr>August!Monat.P8UeVM</vt:lpstr>
      <vt:lpstr>December!Monat.P8UeVM</vt:lpstr>
      <vt:lpstr>February!Monat.P8UeVM</vt:lpstr>
      <vt:lpstr>January!Monat.P8UeVM</vt:lpstr>
      <vt:lpstr>July!Monat.P8UeVM</vt:lpstr>
      <vt:lpstr>June!Monat.P8UeVM</vt:lpstr>
      <vt:lpstr>March!Monat.P8UeVM</vt:lpstr>
      <vt:lpstr>May!Monat.P8UeVM</vt:lpstr>
      <vt:lpstr>November!Monat.P8UeVM</vt:lpstr>
      <vt:lpstr>October!Monat.P8UeVM</vt:lpstr>
      <vt:lpstr>September!Monat.P8UeVM</vt:lpstr>
      <vt:lpstr>April!Monat.P9UeVM</vt:lpstr>
      <vt:lpstr>August!Monat.P9UeVM</vt:lpstr>
      <vt:lpstr>December!Monat.P9UeVM</vt:lpstr>
      <vt:lpstr>February!Monat.P9UeVM</vt:lpstr>
      <vt:lpstr>January!Monat.P9UeVM</vt:lpstr>
      <vt:lpstr>July!Monat.P9UeVM</vt:lpstr>
      <vt:lpstr>June!Monat.P9UeVM</vt:lpstr>
      <vt:lpstr>March!Monat.P9UeVM</vt:lpstr>
      <vt:lpstr>May!Monat.P9UeVM</vt:lpstr>
      <vt:lpstr>November!Monat.P9UeVM</vt:lpstr>
      <vt:lpstr>October!Monat.P9UeVM</vt:lpstr>
      <vt:lpstr>September!Monat.P9UeVM</vt:lpstr>
      <vt:lpstr>April!Monat.PDiffUeVM</vt:lpstr>
      <vt:lpstr>August!Monat.PDiffUeVM</vt:lpstr>
      <vt:lpstr>December!Monat.PDiffUeVM</vt:lpstr>
      <vt:lpstr>February!Monat.PDiffUeVM</vt:lpstr>
      <vt:lpstr>January!Monat.PDiffUeVM</vt:lpstr>
      <vt:lpstr>July!Monat.PDiffUeVM</vt:lpstr>
      <vt:lpstr>June!Monat.PDiffUeVM</vt:lpstr>
      <vt:lpstr>March!Monat.PDiffUeVM</vt:lpstr>
      <vt:lpstr>May!Monat.PDiffUeVM</vt:lpstr>
      <vt:lpstr>November!Monat.PDiffUeVM</vt:lpstr>
      <vt:lpstr>October!Monat.PDiffUeVM</vt:lpstr>
      <vt:lpstr>September!Monat.PDiffUeVM</vt:lpstr>
      <vt:lpstr>April!Monat.Pikett</vt:lpstr>
      <vt:lpstr>August!Monat.Pikett</vt:lpstr>
      <vt:lpstr>December!Monat.Pikett</vt:lpstr>
      <vt:lpstr>February!Monat.Pikett</vt:lpstr>
      <vt:lpstr>January!Monat.Pikett</vt:lpstr>
      <vt:lpstr>July!Monat.Pikett</vt:lpstr>
      <vt:lpstr>June!Monat.Pikett</vt:lpstr>
      <vt:lpstr>March!Monat.Pikett</vt:lpstr>
      <vt:lpstr>May!Monat.Pikett</vt:lpstr>
      <vt:lpstr>November!Monat.Pikett</vt:lpstr>
      <vt:lpstr>October!Monat.Pikett</vt:lpstr>
      <vt:lpstr>September!Monat.Pikett</vt:lpstr>
      <vt:lpstr>April!Monat.Pikett.Zähler</vt:lpstr>
      <vt:lpstr>August!Monat.Pikett.Zähler</vt:lpstr>
      <vt:lpstr>December!Monat.Pikett.Zähler</vt:lpstr>
      <vt:lpstr>February!Monat.Pikett.Zähler</vt:lpstr>
      <vt:lpstr>January!Monat.Pikett.Zähler</vt:lpstr>
      <vt:lpstr>July!Monat.Pikett.Zähler</vt:lpstr>
      <vt:lpstr>June!Monat.Pikett.Zähler</vt:lpstr>
      <vt:lpstr>March!Monat.Pikett.Zähler</vt:lpstr>
      <vt:lpstr>May!Monat.Pikett.Zähler</vt:lpstr>
      <vt:lpstr>November!Monat.Pikett.Zähler</vt:lpstr>
      <vt:lpstr>October!Monat.Pikett.Zähler</vt:lpstr>
      <vt:lpstr>September!Monat.Pikett.Zähler</vt:lpstr>
      <vt:lpstr>April!Monat.PikettgesternTag1</vt:lpstr>
      <vt:lpstr>August!Monat.PikettgesternTag1</vt:lpstr>
      <vt:lpstr>December!Monat.PikettgesternTag1</vt:lpstr>
      <vt:lpstr>February!Monat.PikettgesternTag1</vt:lpstr>
      <vt:lpstr>January!Monat.PikettgesternTag1</vt:lpstr>
      <vt:lpstr>July!Monat.PikettgesternTag1</vt:lpstr>
      <vt:lpstr>June!Monat.PikettgesternTag1</vt:lpstr>
      <vt:lpstr>March!Monat.PikettgesternTag1</vt:lpstr>
      <vt:lpstr>May!Monat.PikettgesternTag1</vt:lpstr>
      <vt:lpstr>November!Monat.PikettgesternTag1</vt:lpstr>
      <vt:lpstr>October!Monat.PikettgesternTag1</vt:lpstr>
      <vt:lpstr>September!Monat.PikettgesternTag1</vt:lpstr>
      <vt:lpstr>April!Monat.PikettText</vt:lpstr>
      <vt:lpstr>August!Monat.PikettText</vt:lpstr>
      <vt:lpstr>December!Monat.PikettText</vt:lpstr>
      <vt:lpstr>February!Monat.PikettText</vt:lpstr>
      <vt:lpstr>January!Monat.PikettText</vt:lpstr>
      <vt:lpstr>July!Monat.PikettText</vt:lpstr>
      <vt:lpstr>June!Monat.PikettText</vt:lpstr>
      <vt:lpstr>March!Monat.PikettText</vt:lpstr>
      <vt:lpstr>May!Monat.PikettText</vt:lpstr>
      <vt:lpstr>November!Monat.PikettText</vt:lpstr>
      <vt:lpstr>October!Monat.PikettText</vt:lpstr>
      <vt:lpstr>September!Monat.PikettText</vt:lpstr>
      <vt:lpstr>April!Monat.Projekte.Zeilen</vt:lpstr>
      <vt:lpstr>August!Monat.Projekte.Zeilen</vt:lpstr>
      <vt:lpstr>December!Monat.Projekte.Zeilen</vt:lpstr>
      <vt:lpstr>February!Monat.Projekte.Zeilen</vt:lpstr>
      <vt:lpstr>January!Monat.Projekte.Zeilen</vt:lpstr>
      <vt:lpstr>July!Monat.Projekte.Zeilen</vt:lpstr>
      <vt:lpstr>June!Monat.Projekte.Zeilen</vt:lpstr>
      <vt:lpstr>March!Monat.Projekte.Zeilen</vt:lpstr>
      <vt:lpstr>May!Monat.Projekte.Zeilen</vt:lpstr>
      <vt:lpstr>November!Monat.Projekte.Zeilen</vt:lpstr>
      <vt:lpstr>October!Monat.Projekte.Zeilen</vt:lpstr>
      <vt:lpstr>September!Monat.Projekte.Zeilen</vt:lpstr>
      <vt:lpstr>April!Monat.ProjekteTotal.Bereich</vt:lpstr>
      <vt:lpstr>August!Monat.ProjekteTotal.Bereich</vt:lpstr>
      <vt:lpstr>December!Monat.ProjekteTotal.Bereich</vt:lpstr>
      <vt:lpstr>February!Monat.ProjekteTotal.Bereich</vt:lpstr>
      <vt:lpstr>January!Monat.ProjekteTotal.Bereich</vt:lpstr>
      <vt:lpstr>July!Monat.ProjekteTotal.Bereich</vt:lpstr>
      <vt:lpstr>June!Monat.ProjekteTotal.Bereich</vt:lpstr>
      <vt:lpstr>March!Monat.ProjekteTotal.Bereich</vt:lpstr>
      <vt:lpstr>May!Monat.ProjekteTotal.Bereich</vt:lpstr>
      <vt:lpstr>November!Monat.ProjekteTotal.Bereich</vt:lpstr>
      <vt:lpstr>October!Monat.ProjekteTotal.Bereich</vt:lpstr>
      <vt:lpstr>September!Monat.ProjekteTotal.Bereich</vt:lpstr>
      <vt:lpstr>April!Monat.PTotalUeVM</vt:lpstr>
      <vt:lpstr>August!Monat.PTotalUeVM</vt:lpstr>
      <vt:lpstr>December!Monat.PTotalUeVM</vt:lpstr>
      <vt:lpstr>February!Monat.PTotalUeVM</vt:lpstr>
      <vt:lpstr>January!Monat.PTotalUeVM</vt:lpstr>
      <vt:lpstr>July!Monat.PTotalUeVM</vt:lpstr>
      <vt:lpstr>June!Monat.PTotalUeVM</vt:lpstr>
      <vt:lpstr>March!Monat.PTotalUeVM</vt:lpstr>
      <vt:lpstr>May!Monat.PTotalUeVM</vt:lpstr>
      <vt:lpstr>November!Monat.PTotalUeVM</vt:lpstr>
      <vt:lpstr>October!Monat.PTotalUeVM</vt:lpstr>
      <vt:lpstr>September!Monat.PTotalUeVM</vt:lpstr>
      <vt:lpstr>April!Monat.RAZ1_7.Bereich</vt:lpstr>
      <vt:lpstr>August!Monat.RAZ1_7.Bereich</vt:lpstr>
      <vt:lpstr>December!Monat.RAZ1_7.Bereich</vt:lpstr>
      <vt:lpstr>February!Monat.RAZ1_7.Bereich</vt:lpstr>
      <vt:lpstr>January!Monat.RAZ1_7.Bereich</vt:lpstr>
      <vt:lpstr>July!Monat.RAZ1_7.Bereich</vt:lpstr>
      <vt:lpstr>June!Monat.RAZ1_7.Bereich</vt:lpstr>
      <vt:lpstr>March!Monat.RAZ1_7.Bereich</vt:lpstr>
      <vt:lpstr>May!Monat.RAZ1_7.Bereich</vt:lpstr>
      <vt:lpstr>November!Monat.RAZ1_7.Bereich</vt:lpstr>
      <vt:lpstr>October!Monat.RAZ1_7.Bereich</vt:lpstr>
      <vt:lpstr>September!Monat.RAZ1_7.Bereich</vt:lpstr>
      <vt:lpstr>April!Monat.SD.Total</vt:lpstr>
      <vt:lpstr>August!Monat.SD.Total</vt:lpstr>
      <vt:lpstr>December!Monat.SD.Total</vt:lpstr>
      <vt:lpstr>February!Monat.SD.Total</vt:lpstr>
      <vt:lpstr>January!Monat.SD.Total</vt:lpstr>
      <vt:lpstr>July!Monat.SD.Total</vt:lpstr>
      <vt:lpstr>June!Monat.SD.Total</vt:lpstr>
      <vt:lpstr>March!Monat.SD.Total</vt:lpstr>
      <vt:lpstr>May!Monat.SD.Total</vt:lpstr>
      <vt:lpstr>November!Monat.SD.Total</vt:lpstr>
      <vt:lpstr>October!Monat.SD.Total</vt:lpstr>
      <vt:lpstr>September!Monat.SD.Total</vt:lpstr>
      <vt:lpstr>April!Monat.SDText</vt:lpstr>
      <vt:lpstr>August!Monat.SDText</vt:lpstr>
      <vt:lpstr>December!Monat.SDText</vt:lpstr>
      <vt:lpstr>February!Monat.SDText</vt:lpstr>
      <vt:lpstr>January!Monat.SDText</vt:lpstr>
      <vt:lpstr>July!Monat.SDText</vt:lpstr>
      <vt:lpstr>June!Monat.SDText</vt:lpstr>
      <vt:lpstr>March!Monat.SDText</vt:lpstr>
      <vt:lpstr>May!Monat.SDText</vt:lpstr>
      <vt:lpstr>November!Monat.SDText</vt:lpstr>
      <vt:lpstr>October!Monat.SDText</vt:lpstr>
      <vt:lpstr>September!Monat.SDText</vt:lpstr>
      <vt:lpstr>April!Monat.SDUeVM</vt:lpstr>
      <vt:lpstr>August!Monat.SDUeVM</vt:lpstr>
      <vt:lpstr>December!Monat.SDUeVM</vt:lpstr>
      <vt:lpstr>February!Monat.SDUeVM</vt:lpstr>
      <vt:lpstr>January!Monat.SDUeVM</vt:lpstr>
      <vt:lpstr>July!Monat.SDUeVM</vt:lpstr>
      <vt:lpstr>June!Monat.SDUeVM</vt:lpstr>
      <vt:lpstr>March!Monat.SDUeVM</vt:lpstr>
      <vt:lpstr>May!Monat.SDUeVM</vt:lpstr>
      <vt:lpstr>November!Monat.SDUeVM</vt:lpstr>
      <vt:lpstr>October!Monat.SDUeVM</vt:lpstr>
      <vt:lpstr>September!Monat.SDUeVM</vt:lpstr>
      <vt:lpstr>April!Monat.Soll_Ist_UeVM</vt:lpstr>
      <vt:lpstr>August!Monat.Soll_Ist_UeVM</vt:lpstr>
      <vt:lpstr>December!Monat.Soll_Ist_UeVM</vt:lpstr>
      <vt:lpstr>February!Monat.Soll_Ist_UeVM</vt:lpstr>
      <vt:lpstr>January!Monat.Soll_Ist_UeVM</vt:lpstr>
      <vt:lpstr>July!Monat.Soll_Ist_UeVM</vt:lpstr>
      <vt:lpstr>June!Monat.Soll_Ist_UeVM</vt:lpstr>
      <vt:lpstr>March!Monat.Soll_Ist_UeVM</vt:lpstr>
      <vt:lpstr>May!Monat.Soll_Ist_UeVM</vt:lpstr>
      <vt:lpstr>November!Monat.Soll_Ist_UeVM</vt:lpstr>
      <vt:lpstr>October!Monat.Soll_Ist_UeVM</vt:lpstr>
      <vt:lpstr>September!Monat.Soll_Ist_UeVM</vt:lpstr>
      <vt:lpstr>April!Monat.Tag1</vt:lpstr>
      <vt:lpstr>August!Monat.Tag1</vt:lpstr>
      <vt:lpstr>December!Monat.Tag1</vt:lpstr>
      <vt:lpstr>February!Monat.Tag1</vt:lpstr>
      <vt:lpstr>January!Monat.Tag1</vt:lpstr>
      <vt:lpstr>July!Monat.Tag1</vt:lpstr>
      <vt:lpstr>June!Monat.Tag1</vt:lpstr>
      <vt:lpstr>March!Monat.Tag1</vt:lpstr>
      <vt:lpstr>May!Monat.Tag1</vt:lpstr>
      <vt:lpstr>November!Monat.Tag1</vt:lpstr>
      <vt:lpstr>October!Monat.Tag1</vt:lpstr>
      <vt:lpstr>September!Monat.Tag1</vt:lpstr>
      <vt:lpstr>April!Monat.Tage.Knoten</vt:lpstr>
      <vt:lpstr>August!Monat.Tage.Knoten</vt:lpstr>
      <vt:lpstr>December!Monat.Tage.Knoten</vt:lpstr>
      <vt:lpstr>February!Monat.Tage.Knoten</vt:lpstr>
      <vt:lpstr>January!Monat.Tage.Knoten</vt:lpstr>
      <vt:lpstr>July!Monat.Tage.Knoten</vt:lpstr>
      <vt:lpstr>June!Monat.Tage.Knoten</vt:lpstr>
      <vt:lpstr>March!Monat.Tage.Knoten</vt:lpstr>
      <vt:lpstr>May!Monat.Tage.Knoten</vt:lpstr>
      <vt:lpstr>November!Monat.Tage.Knoten</vt:lpstr>
      <vt:lpstr>October!Monat.Tage.Knoten</vt:lpstr>
      <vt:lpstr>September!Monat.Tage.Knoten</vt:lpstr>
      <vt:lpstr>April!Monat.UeZ.Saldo</vt:lpstr>
      <vt:lpstr>August!Monat.UeZ.Saldo</vt:lpstr>
      <vt:lpstr>December!Monat.UeZ.Saldo</vt:lpstr>
      <vt:lpstr>February!Monat.UeZ.Saldo</vt:lpstr>
      <vt:lpstr>January!Monat.UeZ.Saldo</vt:lpstr>
      <vt:lpstr>July!Monat.UeZ.Saldo</vt:lpstr>
      <vt:lpstr>June!Monat.UeZ.Saldo</vt:lpstr>
      <vt:lpstr>March!Monat.UeZ.Saldo</vt:lpstr>
      <vt:lpstr>May!Monat.UeZ.Saldo</vt:lpstr>
      <vt:lpstr>November!Monat.UeZ.Saldo</vt:lpstr>
      <vt:lpstr>October!Monat.UeZ.Saldo</vt:lpstr>
      <vt:lpstr>September!Monat.UeZ.Saldo</vt:lpstr>
      <vt:lpstr>April!Monat.UeZ.Total</vt:lpstr>
      <vt:lpstr>August!Monat.UeZ.Total</vt:lpstr>
      <vt:lpstr>December!Monat.UeZ.Total</vt:lpstr>
      <vt:lpstr>February!Monat.UeZ.Total</vt:lpstr>
      <vt:lpstr>January!Monat.UeZ.Total</vt:lpstr>
      <vt:lpstr>July!Monat.UeZ.Total</vt:lpstr>
      <vt:lpstr>June!Monat.UeZ.Total</vt:lpstr>
      <vt:lpstr>March!Monat.UeZ.Total</vt:lpstr>
      <vt:lpstr>May!Monat.UeZ.Total</vt:lpstr>
      <vt:lpstr>November!Monat.UeZ.Total</vt:lpstr>
      <vt:lpstr>October!Monat.UeZ.Total</vt:lpstr>
      <vt:lpstr>September!Monat.UeZ.Total</vt:lpstr>
      <vt:lpstr>April!Monat.UeziZSText</vt:lpstr>
      <vt:lpstr>August!Monat.UeziZSText</vt:lpstr>
      <vt:lpstr>December!Monat.UeziZSText</vt:lpstr>
      <vt:lpstr>February!Monat.UeziZSText</vt:lpstr>
      <vt:lpstr>January!Monat.UeziZSText</vt:lpstr>
      <vt:lpstr>July!Monat.UeziZSText</vt:lpstr>
      <vt:lpstr>June!Monat.UeziZSText</vt:lpstr>
      <vt:lpstr>March!Monat.UeziZSText</vt:lpstr>
      <vt:lpstr>May!Monat.UeziZSText</vt:lpstr>
      <vt:lpstr>November!Monat.UeziZSText</vt:lpstr>
      <vt:lpstr>October!Monat.UeziZSText</vt:lpstr>
      <vt:lpstr>September!Monat.UeziZSText</vt:lpstr>
      <vt:lpstr>April!Monat.UeZSaldoText</vt:lpstr>
      <vt:lpstr>August!Monat.UeZSaldoText</vt:lpstr>
      <vt:lpstr>December!Monat.UeZSaldoText</vt:lpstr>
      <vt:lpstr>February!Monat.UeZSaldoText</vt:lpstr>
      <vt:lpstr>January!Monat.UeZSaldoText</vt:lpstr>
      <vt:lpstr>July!Monat.UeZSaldoText</vt:lpstr>
      <vt:lpstr>June!Monat.UeZSaldoText</vt:lpstr>
      <vt:lpstr>March!Monat.UeZSaldoText</vt:lpstr>
      <vt:lpstr>May!Monat.UeZSaldoText</vt:lpstr>
      <vt:lpstr>November!Monat.UeZSaldoText</vt:lpstr>
      <vt:lpstr>October!Monat.UeZSaldoText</vt:lpstr>
      <vt:lpstr>September!Monat.UeZSaldoText</vt:lpstr>
      <vt:lpstr>April!Monat.UeZUeVM</vt:lpstr>
      <vt:lpstr>August!Monat.UeZUeVM</vt:lpstr>
      <vt:lpstr>December!Monat.UeZUeVM</vt:lpstr>
      <vt:lpstr>February!Monat.UeZUeVM</vt:lpstr>
      <vt:lpstr>January!Monat.UeZUeVM</vt:lpstr>
      <vt:lpstr>July!Monat.UeZUeVM</vt:lpstr>
      <vt:lpstr>June!Monat.UeZUeVM</vt:lpstr>
      <vt:lpstr>March!Monat.UeZUeVM</vt:lpstr>
      <vt:lpstr>May!Monat.UeZUeVM</vt:lpstr>
      <vt:lpstr>November!Monat.UeZUeVM</vt:lpstr>
      <vt:lpstr>October!Monat.UeZUeVM</vt:lpstr>
      <vt:lpstr>September!Monat.UeZUeVM</vt:lpstr>
      <vt:lpstr>April!Monat.UnbesU.Total</vt:lpstr>
      <vt:lpstr>August!Monat.UnbesU.Total</vt:lpstr>
      <vt:lpstr>December!Monat.UnbesU.Total</vt:lpstr>
      <vt:lpstr>February!Monat.UnbesU.Total</vt:lpstr>
      <vt:lpstr>January!Monat.UnbesU.Total</vt:lpstr>
      <vt:lpstr>July!Monat.UnbesU.Total</vt:lpstr>
      <vt:lpstr>June!Monat.UnbesU.Total</vt:lpstr>
      <vt:lpstr>March!Monat.UnbesU.Total</vt:lpstr>
      <vt:lpstr>May!Monat.UnbesU.Total</vt:lpstr>
      <vt:lpstr>November!Monat.UnbesU.Total</vt:lpstr>
      <vt:lpstr>October!Monat.UnbesU.Total</vt:lpstr>
      <vt:lpstr>September!Monat.UnbesU.Total</vt:lpstr>
      <vt:lpstr>April!Monat.UnbesUrlaubText</vt:lpstr>
      <vt:lpstr>August!Monat.UnbesUrlaubText</vt:lpstr>
      <vt:lpstr>December!Monat.UnbesUrlaubText</vt:lpstr>
      <vt:lpstr>February!Monat.UnbesUrlaubText</vt:lpstr>
      <vt:lpstr>January!Monat.UnbesUrlaubText</vt:lpstr>
      <vt:lpstr>July!Monat.UnbesUrlaubText</vt:lpstr>
      <vt:lpstr>June!Monat.UnbesUrlaubText</vt:lpstr>
      <vt:lpstr>March!Monat.UnbesUrlaubText</vt:lpstr>
      <vt:lpstr>May!Monat.UnbesUrlaubText</vt:lpstr>
      <vt:lpstr>November!Monat.UnbesUrlaubText</vt:lpstr>
      <vt:lpstr>October!Monat.UnbesUrlaubText</vt:lpstr>
      <vt:lpstr>September!Monat.UnbesUrlaubText</vt:lpstr>
      <vt:lpstr>April!Monat.UnbesUrlaubUeVM</vt:lpstr>
      <vt:lpstr>August!Monat.UnbesUrlaubUeVM</vt:lpstr>
      <vt:lpstr>December!Monat.UnbesUrlaubUeVM</vt:lpstr>
      <vt:lpstr>February!Monat.UnbesUrlaubUeVM</vt:lpstr>
      <vt:lpstr>January!Monat.UnbesUrlaubUeVM</vt:lpstr>
      <vt:lpstr>July!Monat.UnbesUrlaubUeVM</vt:lpstr>
      <vt:lpstr>June!Monat.UnbesUrlaubUeVM</vt:lpstr>
      <vt:lpstr>March!Monat.UnbesUrlaubUeVM</vt:lpstr>
      <vt:lpstr>May!Monat.UnbesUrlaubUeVM</vt:lpstr>
      <vt:lpstr>November!Monat.UnbesUrlaubUeVM</vt:lpstr>
      <vt:lpstr>October!Monat.UnbesUrlaubUeVM</vt:lpstr>
      <vt:lpstr>September!Monat.UnbesUrlaubUeVM</vt:lpstr>
      <vt:lpstr>April!Monat.ÜZZSBerechtigt</vt:lpstr>
      <vt:lpstr>August!Monat.ÜZZSBerechtigt</vt:lpstr>
      <vt:lpstr>December!Monat.ÜZZSBerechtigt</vt:lpstr>
      <vt:lpstr>February!Monat.ÜZZSBerechtigt</vt:lpstr>
      <vt:lpstr>January!Monat.ÜZZSBerechtigt</vt:lpstr>
      <vt:lpstr>July!Monat.ÜZZSBerechtigt</vt:lpstr>
      <vt:lpstr>June!Monat.ÜZZSBerechtigt</vt:lpstr>
      <vt:lpstr>March!Monat.ÜZZSBerechtigt</vt:lpstr>
      <vt:lpstr>May!Monat.ÜZZSBerechtigt</vt:lpstr>
      <vt:lpstr>November!Monat.ÜZZSBerechtigt</vt:lpstr>
      <vt:lpstr>October!Monat.ÜZZSBerechtigt</vt:lpstr>
      <vt:lpstr>September!Monat.ÜZZSBerechtigt</vt:lpstr>
      <vt:lpstr>April!Monat.WB.Total</vt:lpstr>
      <vt:lpstr>August!Monat.WB.Total</vt:lpstr>
      <vt:lpstr>December!Monat.WB.Total</vt:lpstr>
      <vt:lpstr>February!Monat.WB.Total</vt:lpstr>
      <vt:lpstr>January!Monat.WB.Total</vt:lpstr>
      <vt:lpstr>July!Monat.WB.Total</vt:lpstr>
      <vt:lpstr>June!Monat.WB.Total</vt:lpstr>
      <vt:lpstr>March!Monat.WB.Total</vt:lpstr>
      <vt:lpstr>May!Monat.WB.Total</vt:lpstr>
      <vt:lpstr>November!Monat.WB.Total</vt:lpstr>
      <vt:lpstr>October!Monat.WB.Total</vt:lpstr>
      <vt:lpstr>September!Monat.WB.Total</vt:lpstr>
      <vt:lpstr>April!Monat.WBText</vt:lpstr>
      <vt:lpstr>August!Monat.WBText</vt:lpstr>
      <vt:lpstr>December!Monat.WBText</vt:lpstr>
      <vt:lpstr>February!Monat.WBText</vt:lpstr>
      <vt:lpstr>January!Monat.WBText</vt:lpstr>
      <vt:lpstr>July!Monat.WBText</vt:lpstr>
      <vt:lpstr>June!Monat.WBText</vt:lpstr>
      <vt:lpstr>March!Monat.WBText</vt:lpstr>
      <vt:lpstr>May!Monat.WBText</vt:lpstr>
      <vt:lpstr>November!Monat.WBText</vt:lpstr>
      <vt:lpstr>October!Monat.WBText</vt:lpstr>
      <vt:lpstr>September!Monat.WBText</vt:lpstr>
      <vt:lpstr>April!Monat.WBUeVM</vt:lpstr>
      <vt:lpstr>August!Monat.WBUeVM</vt:lpstr>
      <vt:lpstr>December!Monat.WBUeVM</vt:lpstr>
      <vt:lpstr>February!Monat.WBUeVM</vt:lpstr>
      <vt:lpstr>January!Monat.WBUeVM</vt:lpstr>
      <vt:lpstr>July!Monat.WBUeVM</vt:lpstr>
      <vt:lpstr>June!Monat.WBUeVM</vt:lpstr>
      <vt:lpstr>March!Monat.WBUeVM</vt:lpstr>
      <vt:lpstr>May!Monat.WBUeVM</vt:lpstr>
      <vt:lpstr>November!Monat.WBUeVM</vt:lpstr>
      <vt:lpstr>October!Monat.WBUeVM</vt:lpstr>
      <vt:lpstr>September!Monat.WBUeVM</vt:lpstr>
      <vt:lpstr>April!Monat.Wochentage.Bereich</vt:lpstr>
      <vt:lpstr>August!Monat.Wochentage.Bereich</vt:lpstr>
      <vt:lpstr>December!Monat.Wochentage.Bereich</vt:lpstr>
      <vt:lpstr>February!Monat.Wochentage.Bereich</vt:lpstr>
      <vt:lpstr>January!Monat.Wochentage.Bereich</vt:lpstr>
      <vt:lpstr>July!Monat.Wochentage.Bereich</vt:lpstr>
      <vt:lpstr>June!Monat.Wochentage.Bereich</vt:lpstr>
      <vt:lpstr>March!Monat.Wochentage.Bereich</vt:lpstr>
      <vt:lpstr>May!Monat.Wochentage.Bereich</vt:lpstr>
      <vt:lpstr>November!Monat.Wochentage.Bereich</vt:lpstr>
      <vt:lpstr>October!Monat.Wochentage.Bereich</vt:lpstr>
      <vt:lpstr>September!Monat.Wochentage.Bereich</vt:lpstr>
      <vt:lpstr>April!Monat.ZählerND.Total</vt:lpstr>
      <vt:lpstr>August!Monat.ZählerND.Total</vt:lpstr>
      <vt:lpstr>December!Monat.ZählerND.Total</vt:lpstr>
      <vt:lpstr>February!Monat.ZählerND.Total</vt:lpstr>
      <vt:lpstr>January!Monat.ZählerND.Total</vt:lpstr>
      <vt:lpstr>July!Monat.ZählerND.Total</vt:lpstr>
      <vt:lpstr>June!Monat.ZählerND.Total</vt:lpstr>
      <vt:lpstr>March!Monat.ZählerND.Total</vt:lpstr>
      <vt:lpstr>May!Monat.ZählerND.Total</vt:lpstr>
      <vt:lpstr>November!Monat.ZählerND.Total</vt:lpstr>
      <vt:lpstr>October!Monat.ZählerND.Total</vt:lpstr>
      <vt:lpstr>September!Monat.ZählerND.Total</vt:lpstr>
      <vt:lpstr>April!Monat.ZählerNDText</vt:lpstr>
      <vt:lpstr>August!Monat.ZählerNDText</vt:lpstr>
      <vt:lpstr>December!Monat.ZählerNDText</vt:lpstr>
      <vt:lpstr>February!Monat.ZählerNDText</vt:lpstr>
      <vt:lpstr>January!Monat.ZählerNDText</vt:lpstr>
      <vt:lpstr>July!Monat.ZählerNDText</vt:lpstr>
      <vt:lpstr>June!Monat.ZählerNDText</vt:lpstr>
      <vt:lpstr>March!Monat.ZählerNDText</vt:lpstr>
      <vt:lpstr>May!Monat.ZählerNDText</vt:lpstr>
      <vt:lpstr>November!Monat.ZählerNDText</vt:lpstr>
      <vt:lpstr>October!Monat.ZählerNDText</vt:lpstr>
      <vt:lpstr>September!Monat.ZählerNDText</vt:lpstr>
      <vt:lpstr>April!Monat.ZählerNDUe</vt:lpstr>
      <vt:lpstr>August!Monat.ZählerNDUe</vt:lpstr>
      <vt:lpstr>December!Monat.ZählerNDUe</vt:lpstr>
      <vt:lpstr>February!Monat.ZählerNDUe</vt:lpstr>
      <vt:lpstr>January!Monat.ZählerNDUe</vt:lpstr>
      <vt:lpstr>July!Monat.ZählerNDUe</vt:lpstr>
      <vt:lpstr>June!Monat.ZählerNDUe</vt:lpstr>
      <vt:lpstr>March!Monat.ZählerNDUe</vt:lpstr>
      <vt:lpstr>May!Monat.ZählerNDUe</vt:lpstr>
      <vt:lpstr>November!Monat.ZählerNDUe</vt:lpstr>
      <vt:lpstr>October!Monat.ZählerNDUe</vt:lpstr>
      <vt:lpstr>September!Monat.ZählerNDUe</vt:lpstr>
      <vt:lpstr>April!Monat.ZS.Total</vt:lpstr>
      <vt:lpstr>August!Monat.ZS.Total</vt:lpstr>
      <vt:lpstr>December!Monat.ZS.Total</vt:lpstr>
      <vt:lpstr>February!Monat.ZS.Total</vt:lpstr>
      <vt:lpstr>January!Monat.ZS.Total</vt:lpstr>
      <vt:lpstr>July!Monat.ZS.Total</vt:lpstr>
      <vt:lpstr>June!Monat.ZS.Total</vt:lpstr>
      <vt:lpstr>March!Monat.ZS.Total</vt:lpstr>
      <vt:lpstr>May!Monat.ZS.Total</vt:lpstr>
      <vt:lpstr>November!Monat.ZS.Total</vt:lpstr>
      <vt:lpstr>October!Monat.ZS.Total</vt:lpstr>
      <vt:lpstr>September!Monat.ZS.Total</vt:lpstr>
      <vt:lpstr>April!Monat.ZSText</vt:lpstr>
      <vt:lpstr>August!Monat.ZSText</vt:lpstr>
      <vt:lpstr>December!Monat.ZSText</vt:lpstr>
      <vt:lpstr>February!Monat.ZSText</vt:lpstr>
      <vt:lpstr>January!Monat.ZSText</vt:lpstr>
      <vt:lpstr>July!Monat.ZSText</vt:lpstr>
      <vt:lpstr>June!Monat.ZSText</vt:lpstr>
      <vt:lpstr>March!Monat.ZSText</vt:lpstr>
      <vt:lpstr>May!Monat.ZSText</vt:lpstr>
      <vt:lpstr>November!Monat.ZSText</vt:lpstr>
      <vt:lpstr>October!Monat.ZSText</vt:lpstr>
      <vt:lpstr>September!Monat.ZSText</vt:lpstr>
      <vt:lpstr>April!Monat.ZUeZ.Total</vt:lpstr>
      <vt:lpstr>August!Monat.ZUeZ.Total</vt:lpstr>
      <vt:lpstr>December!Monat.ZUeZ.Total</vt:lpstr>
      <vt:lpstr>February!Monat.ZUeZ.Total</vt:lpstr>
      <vt:lpstr>January!Monat.ZUeZ.Total</vt:lpstr>
      <vt:lpstr>July!Monat.ZUeZ.Total</vt:lpstr>
      <vt:lpstr>June!Monat.ZUeZ.Total</vt:lpstr>
      <vt:lpstr>March!Monat.ZUeZ.Total</vt:lpstr>
      <vt:lpstr>May!Monat.ZUeZ.Total</vt:lpstr>
      <vt:lpstr>November!Monat.ZUeZ.Total</vt:lpstr>
      <vt:lpstr>October!Monat.ZUeZ.Total</vt:lpstr>
      <vt:lpstr>September!Monat.ZUeZ.Total</vt:lpstr>
      <vt:lpstr>April!Monat.ZZNdUe</vt:lpstr>
      <vt:lpstr>August!Monat.ZZNdUe</vt:lpstr>
      <vt:lpstr>December!Monat.ZZNdUe</vt:lpstr>
      <vt:lpstr>February!Monat.ZZNdUe</vt:lpstr>
      <vt:lpstr>January!Monat.ZZNdUe</vt:lpstr>
      <vt:lpstr>July!Monat.ZZNdUe</vt:lpstr>
      <vt:lpstr>June!Monat.ZZNdUe</vt:lpstr>
      <vt:lpstr>March!Monat.ZZNdUe</vt:lpstr>
      <vt:lpstr>May!Monat.ZZNdUe</vt:lpstr>
      <vt:lpstr>November!Monat.ZZNdUe</vt:lpstr>
      <vt:lpstr>October!Monat.ZZNdUe</vt:lpstr>
      <vt:lpstr>September!Monat.ZZNdUe</vt:lpstr>
      <vt:lpstr>April!Monat.ZZSND.Total</vt:lpstr>
      <vt:lpstr>August!Monat.ZZSND.Total</vt:lpstr>
      <vt:lpstr>December!Monat.ZZSND.Total</vt:lpstr>
      <vt:lpstr>February!Monat.ZZSND.Total</vt:lpstr>
      <vt:lpstr>January!Monat.ZZSND.Total</vt:lpstr>
      <vt:lpstr>July!Monat.ZZSND.Total</vt:lpstr>
      <vt:lpstr>June!Monat.ZZSND.Total</vt:lpstr>
      <vt:lpstr>March!Monat.ZZSND.Total</vt:lpstr>
      <vt:lpstr>May!Monat.ZZSND.Total</vt:lpstr>
      <vt:lpstr>November!Monat.ZZSND.Total</vt:lpstr>
      <vt:lpstr>October!Monat.ZZSND.Total</vt:lpstr>
      <vt:lpstr>September!Monat.ZZSND.Total</vt:lpstr>
      <vt:lpstr>April!Monat.ZZSNDText</vt:lpstr>
      <vt:lpstr>August!Monat.ZZSNDText</vt:lpstr>
      <vt:lpstr>December!Monat.ZZSNDText</vt:lpstr>
      <vt:lpstr>February!Monat.ZZSNDText</vt:lpstr>
      <vt:lpstr>January!Monat.ZZSNDText</vt:lpstr>
      <vt:lpstr>July!Monat.ZZSNDText</vt:lpstr>
      <vt:lpstr>June!Monat.ZZSNDText</vt:lpstr>
      <vt:lpstr>March!Monat.ZZSNDText</vt:lpstr>
      <vt:lpstr>May!Monat.ZZSNDText</vt:lpstr>
      <vt:lpstr>November!Monat.ZZSNDText</vt:lpstr>
      <vt:lpstr>October!Monat.ZZSNDText</vt:lpstr>
      <vt:lpstr>September!Monat.ZZSNDText</vt:lpstr>
      <vt:lpstr>PUE.Knoten</vt:lpstr>
      <vt:lpstr>PUE.Monate.Bereich</vt:lpstr>
      <vt:lpstr>PUE.ProjektartName.Bereich</vt:lpstr>
      <vt:lpstr>PUE.Projektauslastung.Knoten</vt:lpstr>
      <vt:lpstr>PUE.Summe.Knoten</vt:lpstr>
      <vt:lpstr>PUEEQ.DiffProdStd.Knoten</vt:lpstr>
      <vt:lpstr>PUEEQ.Knoten</vt:lpstr>
      <vt:lpstr>PUEEQ.Monate.Bereich</vt:lpstr>
      <vt:lpstr>PUEEQ.Projektauslastung.Knoten</vt:lpstr>
      <vt:lpstr>PUEEQ.SollProdStd.Knoten</vt:lpstr>
      <vt:lpstr>PUEEQ.SumTot.Knoten</vt:lpstr>
      <vt:lpstr>PUEEQ.TotProdStd.Knoten</vt:lpstr>
      <vt:lpstr>T.50_NoVetsuisse</vt:lpstr>
      <vt:lpstr>T.50_Vetsuisse</vt:lpstr>
      <vt:lpstr>T.50_VetsuisseZZSND</vt:lpstr>
      <vt:lpstr>T.Abendab</vt:lpstr>
      <vt:lpstr>T.Abendbis</vt:lpstr>
      <vt:lpstr>T.Abfragewerte.Knoten</vt:lpstr>
      <vt:lpstr>T.AngÜZ50_Vetsuisse_orange</vt:lpstr>
      <vt:lpstr>T.AnzAbfragewerte</vt:lpstr>
      <vt:lpstr>T.AnzDefinierteAbfragen</vt:lpstr>
      <vt:lpstr>T.AnzDefinierteZeiten</vt:lpstr>
      <vt:lpstr>T.AnzFakultaet</vt:lpstr>
      <vt:lpstr>T.AnzFeiertage</vt:lpstr>
      <vt:lpstr>T.AnzFrei_Tage</vt:lpstr>
      <vt:lpstr>T.AnzJaNein</vt:lpstr>
      <vt:lpstr>T.AnzPersonalkategorie</vt:lpstr>
      <vt:lpstr>T.AnzPikett</vt:lpstr>
      <vt:lpstr>T.AnzProdStunden</vt:lpstr>
      <vt:lpstr>T.AnzProjektart</vt:lpstr>
      <vt:lpstr>T.AnzProjektartName</vt:lpstr>
      <vt:lpstr>T.AnzWeitereAngaben</vt:lpstr>
      <vt:lpstr>T.AnzWochenarbeitszeit</vt:lpstr>
      <vt:lpstr>T.BWFFeriensaldo</vt:lpstr>
      <vt:lpstr>T.DefinierteAbfragen</vt:lpstr>
      <vt:lpstr>T.DefinierteAbfragen.Knoten</vt:lpstr>
      <vt:lpstr>T.DefinierteAbfragenZZSND.Knoten</vt:lpstr>
      <vt:lpstr>T.DefinierteZeilen.Knoten</vt:lpstr>
      <vt:lpstr>T.DefinierteZeitab.Knoten</vt:lpstr>
      <vt:lpstr>T.DefinierteZeitbis.Knoten</vt:lpstr>
      <vt:lpstr>T.Fakultaet.Knoten</vt:lpstr>
      <vt:lpstr>T.Feiertage.Knoten</vt:lpstr>
      <vt:lpstr>T.Frei_Tage.Knoten</vt:lpstr>
      <vt:lpstr>T.GrenzeAngÜZ50_Vetsuisse</vt:lpstr>
      <vt:lpstr>T.JaNein.Knoten</vt:lpstr>
      <vt:lpstr>T.Nachtab</vt:lpstr>
      <vt:lpstr>T.Nachtbis</vt:lpstr>
      <vt:lpstr>T.Personalkategorie.Knoten</vt:lpstr>
      <vt:lpstr>T.Pikett.Knoten</vt:lpstr>
      <vt:lpstr>T.PikettVetsuissebis</vt:lpstr>
      <vt:lpstr>T.ProdStunden.Knoten</vt:lpstr>
      <vt:lpstr>T.Projektart.Knoten</vt:lpstr>
      <vt:lpstr>T.ProjektartName.Knoten</vt:lpstr>
      <vt:lpstr>T.ServiceCenterIrchel</vt:lpstr>
      <vt:lpstr>T.ServiceCenterIrchelZZSND</vt:lpstr>
      <vt:lpstr>T.WeitereAngaben.Knoten</vt:lpstr>
      <vt:lpstr>T.Wochenarbeitszeit.Knoten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 Wolfensberger;joel.ducommun@abraxas.ch;peter.vonballmoos@parzung.ch</dc:creator>
  <cp:lastModifiedBy>Jeannette Hügli</cp:lastModifiedBy>
  <cp:lastPrinted>2018-11-22T08:18:59Z</cp:lastPrinted>
  <dcterms:created xsi:type="dcterms:W3CDTF">2005-10-03T07:19:09Z</dcterms:created>
  <dcterms:modified xsi:type="dcterms:W3CDTF">2019-12-14T05:57:39Z</dcterms:modified>
</cp:coreProperties>
</file>